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91" activeTab="6"/>
  </bookViews>
  <sheets>
    <sheet name="1. Transporte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imensionamento" sheetId="7" r:id="rId7"/>
  </sheets>
  <definedNames>
    <definedName name="AbaDeprec">'5. Depreciação'!$A$3</definedName>
    <definedName name="AbaRemun">'6.Remuneração de capital'!$A$3</definedName>
    <definedName name="_xlnm.Print_Area" localSheetId="0">'1. Transporte'!$A$1:$F$167</definedName>
    <definedName name="_xlnm.Print_Area" localSheetId="1">'2.Encargos Sociais'!$A$1:$C$35</definedName>
    <definedName name="_xlnm.Print_Titles" localSheetId="0">'1. Transporte'!$1:$2</definedName>
  </definedNames>
  <calcPr calcId="145621" iterate="1" iterateCount="50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D43" i="1"/>
  <c r="C150" i="1" l="1"/>
  <c r="B107" i="1" l="1"/>
  <c r="H5" i="7" l="1"/>
  <c r="D159" i="1"/>
  <c r="E137" i="1"/>
  <c r="C139" i="1"/>
  <c r="E139" i="1" s="1"/>
  <c r="F141" i="1"/>
  <c r="F143" i="1" s="1"/>
  <c r="C80" i="1" l="1"/>
  <c r="D65" i="1" l="1"/>
  <c r="E65" i="1" s="1"/>
  <c r="F66" i="1" s="1"/>
  <c r="F69" i="1" s="1"/>
  <c r="D38" i="1"/>
  <c r="E38" i="1" s="1"/>
  <c r="D37" i="1"/>
  <c r="A31" i="1"/>
  <c r="D44" i="1" l="1"/>
  <c r="D88" i="1"/>
  <c r="D99" i="1" s="1"/>
  <c r="C125" i="1" l="1"/>
  <c r="C81" i="1" l="1"/>
  <c r="A13" i="1" l="1"/>
  <c r="G6" i="7" l="1"/>
  <c r="E95" i="1" l="1"/>
  <c r="E103" i="1" s="1"/>
  <c r="A10" i="1"/>
  <c r="E37" i="1"/>
  <c r="E39" i="1"/>
  <c r="E40" i="1"/>
  <c r="E41" i="1"/>
  <c r="E44" i="1"/>
  <c r="A9" i="1"/>
  <c r="C16" i="4"/>
  <c r="F8" i="4"/>
  <c r="E8" i="4"/>
  <c r="D8" i="4"/>
  <c r="J31" i="3"/>
  <c r="J32" i="3" s="1"/>
  <c r="J33" i="3" s="1"/>
  <c r="J30" i="3"/>
  <c r="J29" i="3"/>
  <c r="J28" i="3"/>
  <c r="B26" i="3"/>
  <c r="B21" i="3"/>
  <c r="C27" i="2" s="1"/>
  <c r="B6" i="3"/>
  <c r="B20" i="3" s="1"/>
  <c r="C26" i="2" s="1"/>
  <c r="C16" i="2"/>
  <c r="C13" i="2"/>
  <c r="E126" i="1"/>
  <c r="E125" i="1"/>
  <c r="E123" i="1"/>
  <c r="D113" i="1"/>
  <c r="D111" i="1"/>
  <c r="C101" i="1"/>
  <c r="E101" i="1" s="1"/>
  <c r="C100" i="1"/>
  <c r="E100" i="1" s="1"/>
  <c r="C99" i="1"/>
  <c r="C94" i="1"/>
  <c r="E88" i="1"/>
  <c r="E77" i="1"/>
  <c r="E53" i="1"/>
  <c r="E31" i="1"/>
  <c r="A21" i="1"/>
  <c r="A20" i="1"/>
  <c r="A19" i="1"/>
  <c r="A18" i="1"/>
  <c r="A17" i="1"/>
  <c r="A16" i="1"/>
  <c r="A15" i="1"/>
  <c r="A14" i="1"/>
  <c r="A12" i="1"/>
  <c r="A11" i="1"/>
  <c r="A27" i="1" s="1"/>
  <c r="A8" i="1"/>
  <c r="E54" i="1" l="1"/>
  <c r="F56" i="1" s="1"/>
  <c r="E10" i="1" s="1"/>
  <c r="E42" i="1"/>
  <c r="E45" i="1" s="1"/>
  <c r="D46" i="1" s="1"/>
  <c r="E20" i="1"/>
  <c r="E99" i="1"/>
  <c r="D102" i="1" s="1"/>
  <c r="E102" i="1" s="1"/>
  <c r="F103" i="1" s="1"/>
  <c r="E16" i="1" s="1"/>
  <c r="C90" i="1"/>
  <c r="D80" i="1"/>
  <c r="E80" i="1" s="1"/>
  <c r="D81" i="1" s="1"/>
  <c r="E81" i="1" s="1"/>
  <c r="D127" i="1"/>
  <c r="E127" i="1" s="1"/>
  <c r="D128" i="1" s="1"/>
  <c r="F20" i="3"/>
  <c r="D29" i="3"/>
  <c r="C29" i="3" s="1"/>
  <c r="C30" i="3" s="1"/>
  <c r="B30" i="3" s="1"/>
  <c r="C23" i="2" s="1"/>
  <c r="B31" i="3"/>
  <c r="E82" i="1" l="1"/>
  <c r="D83" i="1"/>
  <c r="E83" i="1" s="1"/>
  <c r="F84" i="1" s="1"/>
  <c r="E11" i="1"/>
  <c r="C25" i="2"/>
  <c r="C31" i="2"/>
  <c r="C128" i="1"/>
  <c r="E128" i="1" s="1"/>
  <c r="F129" i="1" s="1"/>
  <c r="E19" i="1" s="1"/>
  <c r="C111" i="1"/>
  <c r="B29" i="3"/>
  <c r="C24" i="2"/>
  <c r="C15" i="2" s="1"/>
  <c r="C21" i="2" s="1"/>
  <c r="C30" i="2" s="1"/>
  <c r="C32" i="2" s="1"/>
  <c r="J27" i="3"/>
  <c r="C91" i="1"/>
  <c r="D92" i="1" s="1"/>
  <c r="E92" i="1" s="1"/>
  <c r="E29" i="3"/>
  <c r="F29" i="3" s="1"/>
  <c r="E93" i="1" l="1"/>
  <c r="D94" i="1"/>
  <c r="E94" i="1" s="1"/>
  <c r="F95" i="1" s="1"/>
  <c r="E15" i="1" s="1"/>
  <c r="C28" i="2"/>
  <c r="C33" i="2" s="1"/>
  <c r="C46" i="1" s="1"/>
  <c r="E46" i="1" s="1"/>
  <c r="E47" i="1" s="1"/>
  <c r="D48" i="1" s="1"/>
  <c r="E48" i="1" s="1"/>
  <c r="E14" i="1"/>
  <c r="C113" i="1"/>
  <c r="E113" i="1" s="1"/>
  <c r="E111" i="1"/>
  <c r="C118" i="1"/>
  <c r="E118" i="1" s="1"/>
  <c r="F119" i="1" s="1"/>
  <c r="E18" i="1" s="1"/>
  <c r="F30" i="3"/>
  <c r="F24" i="3"/>
  <c r="F114" i="1" l="1"/>
  <c r="E17" i="1" s="1"/>
  <c r="E13" i="1" s="1"/>
  <c r="F49" i="1"/>
  <c r="F59" i="1" s="1"/>
  <c r="E9" i="1" l="1"/>
  <c r="F132" i="1"/>
  <c r="E12" i="1" s="1"/>
  <c r="F145" i="1" l="1"/>
  <c r="D150" i="1" s="1"/>
  <c r="E8" i="1"/>
  <c r="E150" i="1" l="1"/>
  <c r="F151" i="1" s="1"/>
  <c r="F153" i="1" s="1"/>
  <c r="E21" i="1" s="1"/>
  <c r="E22" i="1" s="1"/>
  <c r="F8" i="1" l="1"/>
  <c r="F9" i="1"/>
  <c r="F156" i="1"/>
  <c r="F161" i="1" s="1"/>
  <c r="F10" i="1"/>
  <c r="F20" i="1"/>
  <c r="F11" i="1"/>
  <c r="F16" i="1"/>
  <c r="F19" i="1"/>
  <c r="F18" i="1"/>
  <c r="F15" i="1"/>
  <c r="F14" i="1"/>
  <c r="F13" i="1"/>
  <c r="F12" i="1"/>
  <c r="F17" i="1"/>
  <c r="F21" i="1"/>
  <c r="F22" i="1" l="1"/>
  <c r="F5" i="7" l="1"/>
  <c r="H6" i="7"/>
  <c r="I6" i="7" s="1"/>
</calcChain>
</file>

<file path=xl/sharedStrings.xml><?xml version="1.0" encoding="utf-8"?>
<sst xmlns="http://schemas.openxmlformats.org/spreadsheetml/2006/main" count="351" uniqueCount="244">
  <si>
    <t>Planilha de Composição de Custos</t>
  </si>
  <si>
    <t>Orçamento Sintético</t>
  </si>
  <si>
    <t>Descrição do Item</t>
  </si>
  <si>
    <t>Custo (R$/mês)</t>
  </si>
  <si>
    <t>%</t>
  </si>
  <si>
    <t>Quantitativos</t>
  </si>
  <si>
    <t>Mão-de-obra</t>
  </si>
  <si>
    <t>Quantidade</t>
  </si>
  <si>
    <t>Total de mão-de-obra (postos de trabalho)</t>
  </si>
  <si>
    <t>Veículos e Equipamentos</t>
  </si>
  <si>
    <t>Discriminação</t>
  </si>
  <si>
    <t>Unidade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</si>
  <si>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</si>
  <si>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</si>
  <si>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</si>
  <si>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</si>
  <si>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</si>
  <si>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</si>
  <si>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</si>
  <si>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</si>
  <si>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</si>
  <si>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</si>
  <si>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</si>
  <si>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do Efetivo</t>
  </si>
  <si>
    <t>homem</t>
  </si>
  <si>
    <t>Fator de utilização</t>
  </si>
  <si>
    <t>Custo unitário</t>
  </si>
  <si>
    <t>unidade</t>
  </si>
  <si>
    <t>Total</t>
  </si>
  <si>
    <t>Custo Mensal com Mão-de-obra (R$/mês)</t>
  </si>
  <si>
    <t>2. Uniformes e Equipamentos de Proteção Individual</t>
  </si>
  <si>
    <t>Subtotal
(mensal)</t>
  </si>
  <si>
    <t>Custo Mensal com Uniformes e EPIs (R$/mês)</t>
  </si>
  <si>
    <t>3. Veículos e Equipamentos</t>
  </si>
  <si>
    <t>3.1.1. Depreciação</t>
  </si>
  <si>
    <t>anos</t>
  </si>
  <si>
    <t>Idade do veículo</t>
  </si>
  <si>
    <t>Total por veículo</t>
  </si>
  <si>
    <t>Total da frota</t>
  </si>
  <si>
    <t>3.1.2. Remuneração do Capital</t>
  </si>
  <si>
    <t>Taxa de juros anual nominal</t>
  </si>
  <si>
    <t>Valor do veículo proposto (V0)</t>
  </si>
  <si>
    <t>3.1.3. Impostos e Seguros</t>
  </si>
  <si>
    <t>IPVA</t>
  </si>
  <si>
    <t>Licenciamento e Seguro obrigatório</t>
  </si>
  <si>
    <t>Impostos e seguros mensais</t>
  </si>
  <si>
    <t>3.1.4. Consumos</t>
  </si>
  <si>
    <t>Quilometragem mensal
(estimado em levantamento prévio)</t>
  </si>
  <si>
    <t>Consumo</t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</si>
  <si>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</si>
  <si>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</si>
  <si>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</si>
  <si>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</si>
  <si>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</si>
  <si>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</si>
  <si>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</si>
  <si>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R$/km rodado</t>
  </si>
  <si>
    <t>3.1.5. Manutenção</t>
  </si>
  <si>
    <t>3.1.6. Pneus</t>
  </si>
  <si>
    <t>Número de recapagens por pneu</t>
  </si>
  <si>
    <t>Custo de recapagem</t>
  </si>
  <si>
    <t>Vulcanização/Reparos</t>
  </si>
  <si>
    <t>Custo jg. compl. +  recap./ km rodado</t>
  </si>
  <si>
    <t>km/jogo</t>
  </si>
  <si>
    <t>Custo mensal com pneus</t>
  </si>
  <si>
    <t>cj</t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</si>
  <si>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</si>
  <si>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</si>
  <si>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</si>
  <si>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</si>
  <si>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</si>
  <si>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</si>
  <si>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</si>
  <si>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</si>
  <si>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</si>
  <si>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</si>
  <si>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</si>
  <si>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</si>
  <si>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</si>
  <si>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</si>
  <si>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</si>
  <si>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</si>
  <si>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</si>
  <si>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</si>
  <si>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</si>
  <si>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</si>
  <si>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</si>
  <si>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</si>
  <si>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</si>
  <si>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</si>
  <si>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</si>
  <si>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</si>
  <si>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</si>
  <si>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</si>
  <si>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</si>
  <si>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</si>
  <si>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</si>
  <si>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</si>
  <si>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</si>
  <si>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</si>
  <si>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</si>
  <si>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</si>
  <si>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</si>
  <si>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</si>
  <si>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</si>
  <si>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</si>
  <si>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</si>
  <si>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</si>
  <si>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</si>
  <si>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</si>
  <si>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</si>
  <si>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</si>
  <si>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</si>
  <si>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</si>
  <si>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</si>
  <si>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</si>
  <si>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</si>
  <si>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</si>
  <si>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</si>
  <si>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</si>
  <si>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</si>
  <si>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</si>
  <si>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</si>
  <si>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</si>
  <si>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</si>
  <si>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</si>
  <si>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</si>
  <si>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</si>
  <si>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</si>
  <si>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</si>
  <si>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</si>
  <si>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</si>
  <si>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</si>
  <si>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</si>
  <si>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</si>
  <si>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</si>
  <si>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</si>
  <si>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</si>
  <si>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</si>
  <si>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</si>
  <si>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</si>
  <si>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</si>
  <si>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</si>
  <si>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</si>
  <si>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</si>
  <si>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</si>
  <si>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</si>
  <si>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</si>
  <si>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</si>
  <si>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</si>
  <si>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</si>
  <si>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</si>
  <si>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</si>
  <si>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</si>
  <si>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</si>
  <si>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</si>
  <si>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</si>
  <si>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</si>
  <si>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</si>
  <si>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</si>
  <si>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</si>
  <si>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</si>
  <si>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</si>
  <si>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</si>
  <si>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</si>
  <si>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</si>
  <si>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</si>
  <si>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</si>
  <si>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</si>
  <si>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</si>
  <si>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</si>
  <si>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</si>
  <si>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</si>
  <si>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</si>
  <si>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</si>
  <si>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Opção pelo Simples Nacional</t>
  </si>
  <si>
    <t>Fórmula para o cálculo do BDI:</t>
  </si>
  <si>
    <t>{[(1+AC+SRG) x (1+L) x (1+DF)] / (1-T)} -1</t>
  </si>
  <si>
    <t>Resultado do cálculo do BDI:</t>
  </si>
  <si>
    <t>5. Depreciação Referencial (%)</t>
  </si>
  <si>
    <t>Idade do veículo (ano)</t>
  </si>
  <si>
    <t>Média</t>
  </si>
  <si>
    <t>6. Remuneração de Capital</t>
  </si>
  <si>
    <t>Fórmula de cálculo da remuneração de capital:</t>
  </si>
  <si>
    <r>
      <rPr>
        <sz val="12"/>
        <color rgb="FF000000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</si>
  <si>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</si>
  <si>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</si>
  <si>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</si>
  <si>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rgb="FF000000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</si>
  <si>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</si>
  <si>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Nome da Linha</t>
  </si>
  <si>
    <t>Quadro 1</t>
  </si>
  <si>
    <t>Unid</t>
  </si>
  <si>
    <t>Salário mínimo nacional (1)</t>
  </si>
  <si>
    <t>2.1. Uniformes e EPIs para Motorista</t>
  </si>
  <si>
    <t>Depreciação mensal veículo</t>
  </si>
  <si>
    <t>Custo de aquisição do veículo</t>
  </si>
  <si>
    <t>Vida útil do veículo</t>
  </si>
  <si>
    <t>Depreciação do veículo</t>
  </si>
  <si>
    <t>Custo do veículo</t>
  </si>
  <si>
    <t>Investimento médio total do veículo</t>
  </si>
  <si>
    <t>Remuneração mensal de capital do veículo</t>
  </si>
  <si>
    <t>Custo Mensal com Veículos (R$/mês)</t>
  </si>
  <si>
    <t>4. Monitoramento da Frota</t>
  </si>
  <si>
    <t>Seguro de Passageiros</t>
  </si>
  <si>
    <t>Custo de manutenção do veículo</t>
  </si>
  <si>
    <t>PREÇO TOTAL MENSAL COM O TRANSPORTE</t>
  </si>
  <si>
    <t>1. Serviços</t>
  </si>
  <si>
    <t>PREÇO POR VIAGEM:  [A/B]</t>
  </si>
  <si>
    <t>Distância
Diária (Km)</t>
  </si>
  <si>
    <t>Distância para Transporte de Passageiros do Município ao Destino</t>
  </si>
  <si>
    <t>Distancia total Mês
(Km)</t>
  </si>
  <si>
    <t>Total anual</t>
  </si>
  <si>
    <t>un</t>
  </si>
  <si>
    <t>7. Estimativa de viagens semanais</t>
  </si>
  <si>
    <t>Passageiros</t>
  </si>
  <si>
    <t>Veículo Ônibus</t>
  </si>
  <si>
    <t>Dias Letivos Mês</t>
  </si>
  <si>
    <t>Transporte Rodoviário de Passageiros Interminicipal - CNAE 4922101</t>
  </si>
  <si>
    <t>ANEXO XIII</t>
  </si>
  <si>
    <t>Valor (km)</t>
  </si>
  <si>
    <t>Número de Viagens por mês</t>
  </si>
  <si>
    <t>1. Transporte Coletivo de Passageiros - Veículo ÔNIBUS</t>
  </si>
  <si>
    <t>3.1. Veículo Ônibus Urbano Capacidade 44 passageiros - Ano mínimo 2013</t>
  </si>
  <si>
    <t>Piso da categoria de motorista</t>
  </si>
  <si>
    <t xml:space="preserve">Piso da categoria de monitor </t>
  </si>
  <si>
    <t>1.2. Vale alimentação</t>
  </si>
  <si>
    <t>Motorista e monitor</t>
  </si>
  <si>
    <t>Camiseta personalizada</t>
  </si>
  <si>
    <t>(meses)</t>
  </si>
  <si>
    <t>Observasção: duas camisetas por ano por funcionário</t>
  </si>
  <si>
    <r>
      <rPr>
        <sz val="10"/>
        <rFont val="Arial"/>
        <family val="2"/>
      </rPr>
      <t>Custo do jogo de pneus</t>
    </r>
    <r>
      <rPr>
        <sz val="10"/>
        <color rgb="FFFF0000"/>
        <rFont val="Arial"/>
        <family val="2"/>
        <charset val="1"/>
      </rPr>
      <t xml:space="preserve"> 275/80R/22,5</t>
    </r>
  </si>
  <si>
    <t xml:space="preserve">Quantidade média de quilometragem por mês: </t>
  </si>
  <si>
    <t>Total por Motorista e monitor</t>
  </si>
  <si>
    <t>O valor do salário mensal é o definido pelo básico da categoria, conforme convenção coletiva de trabalho METROLON 2022/2023;</t>
  </si>
  <si>
    <t>Linha 08</t>
  </si>
  <si>
    <t>Base de cálculo De adicional noturno</t>
  </si>
  <si>
    <t>LINHA 08 NOTURNA</t>
  </si>
  <si>
    <t>O preço do óleo diesel foi usado o valor médio de bomba praticado no dia 03/01/2023 no posto da cidade de Tamarana - Pr.</t>
  </si>
  <si>
    <t>Motorista terá direito ao vale-alimentação conforme descrito na planilha da Convenção</t>
  </si>
  <si>
    <t xml:space="preserve">1.1. Motorista </t>
  </si>
  <si>
    <t>O onibus a ser utilizado é ano mínimo 2013 com capacidade mínima de 42 passageiros</t>
  </si>
  <si>
    <t>O motorista  fará 8 horas por dia, de segunda-feira à sexta-feira; não é permitido carga horaria inferior no registro.</t>
  </si>
  <si>
    <r>
      <t>A linha 09 incide adicional noturno e</t>
    </r>
    <r>
      <rPr>
        <b/>
        <sz val="9"/>
        <rFont val="Arial"/>
        <family val="2"/>
      </rPr>
      <t xml:space="preserve"> não possui monitor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</si>
</sst>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</numFmts>
  <fonts count="32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sz val="8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DDD9C3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EEECE1"/>
        <bgColor rgb="FFD9D9D9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10" fillId="0" borderId="0" applyBorder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3" fillId="0" borderId="0" xfId="1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4" xfId="1" applyFont="1" applyBorder="1" applyAlignment="1" applyProtection="1">
      <alignment vertical="center"/>
    </xf>
    <xf numFmtId="164" fontId="5" fillId="0" borderId="6" xfId="1" applyFont="1" applyBorder="1" applyAlignment="1" applyProtection="1">
      <alignment horizontal="center" vertical="center"/>
    </xf>
    <xf numFmtId="164" fontId="0" fillId="0" borderId="7" xfId="1" applyFont="1" applyBorder="1" applyAlignment="1" applyProtection="1">
      <alignment vertical="center"/>
    </xf>
    <xf numFmtId="164" fontId="5" fillId="0" borderId="7" xfId="1" applyFont="1" applyBorder="1" applyAlignment="1" applyProtection="1">
      <alignment vertical="center"/>
    </xf>
    <xf numFmtId="164" fontId="5" fillId="0" borderId="8" xfId="1" applyFont="1" applyBorder="1" applyAlignment="1" applyProtection="1">
      <alignment vertical="center"/>
    </xf>
    <xf numFmtId="164" fontId="5" fillId="0" borderId="9" xfId="1" applyFont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1" applyFont="1" applyBorder="1" applyAlignment="1" applyProtection="1">
      <alignment vertical="center"/>
    </xf>
    <xf numFmtId="165" fontId="5" fillId="0" borderId="12" xfId="0" applyNumberFormat="1" applyFont="1" applyBorder="1" applyAlignment="1">
      <alignment vertical="center"/>
    </xf>
    <xf numFmtId="10" fontId="5" fillId="0" borderId="13" xfId="2" applyNumberFormat="1" applyFont="1" applyBorder="1" applyAlignment="1" applyProtection="1">
      <alignment vertical="center"/>
    </xf>
    <xf numFmtId="164" fontId="5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164" fontId="0" fillId="0" borderId="10" xfId="1" applyFont="1" applyBorder="1" applyAlignment="1" applyProtection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1" xfId="1" applyFont="1" applyBorder="1" applyAlignment="1" applyProtection="1">
      <alignment vertical="center"/>
    </xf>
    <xf numFmtId="165" fontId="0" fillId="0" borderId="12" xfId="0" applyNumberFormat="1" applyFont="1" applyBorder="1" applyAlignment="1">
      <alignment vertical="center"/>
    </xf>
    <xf numFmtId="10" fontId="0" fillId="0" borderId="13" xfId="2" applyNumberFormat="1" applyFont="1" applyBorder="1" applyAlignment="1" applyProtection="1">
      <alignment vertical="center"/>
    </xf>
    <xf numFmtId="164" fontId="5" fillId="0" borderId="10" xfId="1" applyFont="1" applyBorder="1" applyAlignment="1" applyProtection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164" fontId="0" fillId="0" borderId="10" xfId="1" applyFont="1" applyBorder="1" applyAlignment="1" applyProtection="1">
      <alignment horizontal="left" vertical="center"/>
    </xf>
    <xf numFmtId="4" fontId="0" fillId="0" borderId="11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/>
    </xf>
    <xf numFmtId="164" fontId="5" fillId="0" borderId="15" xfId="1" applyFont="1" applyBorder="1" applyAlignment="1" applyProtection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164" fontId="5" fillId="0" borderId="16" xfId="1" applyFont="1" applyBorder="1" applyAlignment="1" applyProtection="1">
      <alignment vertical="center"/>
    </xf>
    <xf numFmtId="166" fontId="5" fillId="0" borderId="17" xfId="0" applyNumberFormat="1" applyFont="1" applyBorder="1" applyAlignment="1">
      <alignment vertical="center"/>
    </xf>
    <xf numFmtId="9" fontId="5" fillId="0" borderId="18" xfId="2" applyFont="1" applyBorder="1" applyAlignment="1" applyProtection="1">
      <alignment vertical="center"/>
    </xf>
    <xf numFmtId="164" fontId="5" fillId="0" borderId="20" xfId="1" applyFont="1" applyBorder="1" applyAlignment="1" applyProtection="1">
      <alignment horizontal="right" vertical="center"/>
    </xf>
    <xf numFmtId="164" fontId="0" fillId="0" borderId="6" xfId="1" applyFont="1" applyBorder="1" applyAlignment="1" applyProtection="1">
      <alignment vertical="center"/>
    </xf>
    <xf numFmtId="0" fontId="0" fillId="0" borderId="7" xfId="0" applyFont="1" applyBorder="1" applyAlignment="1">
      <alignment vertical="center"/>
    </xf>
    <xf numFmtId="1" fontId="0" fillId="0" borderId="9" xfId="1" applyNumberFormat="1" applyFont="1" applyBorder="1" applyAlignment="1" applyProtection="1">
      <alignment horizontal="center" vertical="center"/>
    </xf>
    <xf numFmtId="0" fontId="0" fillId="0" borderId="11" xfId="0" applyFont="1" applyBorder="1" applyAlignment="1">
      <alignment vertical="center"/>
    </xf>
    <xf numFmtId="164" fontId="5" fillId="0" borderId="22" xfId="1" applyFont="1" applyBorder="1" applyAlignment="1" applyProtection="1">
      <alignment vertical="center"/>
    </xf>
    <xf numFmtId="4" fontId="5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" fontId="5" fillId="0" borderId="24" xfId="1" applyNumberFormat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0" fillId="0" borderId="26" xfId="1" applyFont="1" applyBorder="1" applyAlignment="1" applyProtection="1">
      <alignment vertical="center"/>
    </xf>
    <xf numFmtId="164" fontId="0" fillId="0" borderId="27" xfId="1" applyFont="1" applyBorder="1" applyAlignment="1" applyProtection="1">
      <alignment vertical="center"/>
    </xf>
    <xf numFmtId="0" fontId="0" fillId="0" borderId="27" xfId="0" applyFont="1" applyBorder="1" applyAlignment="1">
      <alignment vertical="center"/>
    </xf>
    <xf numFmtId="1" fontId="0" fillId="0" borderId="5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1" applyNumberFormat="1" applyFont="1" applyBorder="1" applyAlignment="1" applyProtection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64" fontId="7" fillId="3" borderId="28" xfId="1" applyFont="1" applyFill="1" applyBorder="1" applyAlignment="1" applyProtection="1">
      <alignment horizontal="center" vertical="center"/>
    </xf>
    <xf numFmtId="164" fontId="7" fillId="3" borderId="18" xfId="1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29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 applyProtection="1">
      <alignment horizontal="center" vertical="center"/>
    </xf>
    <xf numFmtId="164" fontId="5" fillId="0" borderId="30" xfId="1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0" xfId="1" applyFont="1" applyBorder="1" applyAlignment="1" applyProtection="1">
      <alignment horizontal="right" vertical="center"/>
    </xf>
    <xf numFmtId="164" fontId="0" fillId="0" borderId="12" xfId="1" applyFont="1" applyBorder="1" applyAlignment="1" applyProtection="1">
      <alignment vertical="center"/>
    </xf>
    <xf numFmtId="164" fontId="5" fillId="3" borderId="31" xfId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2" xfId="1" applyFont="1" applyBorder="1" applyAlignment="1" applyProtection="1">
      <alignment horizontal="center" vertical="center"/>
    </xf>
    <xf numFmtId="167" fontId="0" fillId="0" borderId="12" xfId="1" applyNumberFormat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right" vertical="center"/>
    </xf>
    <xf numFmtId="164" fontId="5" fillId="3" borderId="31" xfId="1" applyFont="1" applyFill="1" applyBorder="1" applyAlignment="1" applyProtection="1">
      <alignment vertical="center"/>
    </xf>
    <xf numFmtId="164" fontId="5" fillId="3" borderId="5" xfId="1" applyFont="1" applyFill="1" applyBorder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4" fontId="5" fillId="0" borderId="31" xfId="1" applyFont="1" applyBorder="1" applyAlignment="1" applyProtection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164" fontId="7" fillId="3" borderId="28" xfId="1" applyFont="1" applyFill="1" applyBorder="1" applyAlignment="1" applyProtection="1">
      <alignment horizontal="center" vertical="center" wrapText="1"/>
    </xf>
    <xf numFmtId="13" fontId="0" fillId="0" borderId="12" xfId="0" applyNumberFormat="1" applyFont="1" applyBorder="1" applyAlignment="1">
      <alignment vertical="center"/>
    </xf>
    <xf numFmtId="0" fontId="0" fillId="0" borderId="0" xfId="0" applyFont="1"/>
    <xf numFmtId="1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16" xfId="1" applyFont="1" applyBorder="1" applyAlignment="1" applyProtection="1">
      <alignment vertical="center"/>
    </xf>
    <xf numFmtId="164" fontId="0" fillId="0" borderId="31" xfId="1" applyFont="1" applyBorder="1" applyAlignment="1" applyProtection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vertical="center"/>
    </xf>
    <xf numFmtId="0" fontId="0" fillId="0" borderId="29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4" fontId="0" fillId="0" borderId="0" xfId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4" fontId="7" fillId="3" borderId="32" xfId="1" applyFont="1" applyFill="1" applyBorder="1" applyAlignment="1" applyProtection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4" fontId="0" fillId="0" borderId="29" xfId="0" applyNumberFormat="1" applyFont="1" applyBorder="1" applyAlignment="1">
      <alignment horizontal="center" vertical="center"/>
    </xf>
    <xf numFmtId="169" fontId="0" fillId="0" borderId="29" xfId="1" applyNumberFormat="1" applyFont="1" applyBorder="1" applyAlignment="1" applyProtection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69" fontId="0" fillId="0" borderId="12" xfId="1" applyNumberFormat="1" applyFont="1" applyBorder="1" applyAlignment="1" applyProtection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2" fillId="0" borderId="12" xfId="1" applyFont="1" applyBorder="1" applyAlignment="1" applyProtection="1">
      <alignment horizontal="center" vertical="center"/>
    </xf>
    <xf numFmtId="164" fontId="13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5" fillId="3" borderId="5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Font="1" applyBorder="1" applyAlignment="1" applyProtection="1">
      <alignment vertical="center"/>
    </xf>
    <xf numFmtId="164" fontId="0" fillId="0" borderId="34" xfId="1" applyFont="1" applyBorder="1" applyAlignment="1" applyProtection="1">
      <alignment vertical="center"/>
    </xf>
    <xf numFmtId="164" fontId="5" fillId="0" borderId="31" xfId="1" applyFont="1" applyBorder="1" applyAlignment="1" applyProtection="1">
      <alignment horizontal="right" vertic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15" fillId="0" borderId="3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0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0" fontId="16" fillId="0" borderId="21" xfId="0" applyNumberFormat="1" applyFont="1" applyBorder="1" applyAlignment="1">
      <alignment horizontal="right" vertical="center"/>
    </xf>
    <xf numFmtId="0" fontId="15" fillId="4" borderId="36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10" fontId="16" fillId="4" borderId="21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0" fontId="0" fillId="0" borderId="0" xfId="0" applyNumberFormat="1" applyFont="1"/>
    <xf numFmtId="9" fontId="15" fillId="0" borderId="0" xfId="2" applyFont="1" applyBorder="1" applyAlignment="1" applyProtection="1">
      <alignment horizontal="right" vertical="center"/>
    </xf>
    <xf numFmtId="10" fontId="0" fillId="0" borderId="0" xfId="0" applyNumberFormat="1" applyFont="1" applyBorder="1"/>
    <xf numFmtId="0" fontId="15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5" fillId="5" borderId="37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left" vertical="center"/>
    </xf>
    <xf numFmtId="10" fontId="16" fillId="5" borderId="3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  <xf numFmtId="10" fontId="15" fillId="0" borderId="0" xfId="0" applyNumberFormat="1" applyFont="1" applyBorder="1" applyAlignment="1">
      <alignment horizontal="right" vertical="center"/>
    </xf>
    <xf numFmtId="0" fontId="15" fillId="6" borderId="0" xfId="0" applyFont="1" applyFill="1" applyBorder="1" applyAlignment="1">
      <alignment horizontal="left" vertical="center"/>
    </xf>
    <xf numFmtId="0" fontId="16" fillId="0" borderId="10" xfId="0" applyFont="1" applyBorder="1"/>
    <xf numFmtId="0" fontId="3" fillId="0" borderId="13" xfId="0" applyFont="1" applyBorder="1"/>
    <xf numFmtId="0" fontId="16" fillId="0" borderId="39" xfId="0" applyFont="1" applyBorder="1"/>
    <xf numFmtId="164" fontId="16" fillId="0" borderId="21" xfId="1" applyFont="1" applyBorder="1" applyAlignment="1" applyProtection="1"/>
    <xf numFmtId="0" fontId="16" fillId="0" borderId="36" xfId="0" applyFont="1" applyBorder="1"/>
    <xf numFmtId="0" fontId="3" fillId="0" borderId="36" xfId="0" applyFont="1" applyBorder="1"/>
    <xf numFmtId="164" fontId="3" fillId="0" borderId="21" xfId="1" applyFont="1" applyBorder="1" applyAlignment="1" applyProtection="1"/>
    <xf numFmtId="0" fontId="3" fillId="0" borderId="39" xfId="0" applyFont="1" applyBorder="1"/>
    <xf numFmtId="164" fontId="3" fillId="0" borderId="40" xfId="1" applyFont="1" applyBorder="1" applyAlignment="1" applyProtection="1"/>
    <xf numFmtId="164" fontId="3" fillId="0" borderId="13" xfId="1" applyFont="1" applyBorder="1" applyAlignment="1" applyProtection="1"/>
    <xf numFmtId="0" fontId="3" fillId="0" borderId="41" xfId="0" applyFont="1" applyBorder="1"/>
    <xf numFmtId="164" fontId="3" fillId="0" borderId="42" xfId="1" applyFont="1" applyBorder="1" applyAlignment="1" applyProtection="1"/>
    <xf numFmtId="0" fontId="3" fillId="0" borderId="3" xfId="0" applyFont="1" applyBorder="1"/>
    <xf numFmtId="0" fontId="3" fillId="0" borderId="4" xfId="0" applyFont="1" applyBorder="1"/>
    <xf numFmtId="0" fontId="16" fillId="0" borderId="43" xfId="0" applyFont="1" applyBorder="1"/>
    <xf numFmtId="170" fontId="16" fillId="0" borderId="40" xfId="0" applyNumberFormat="1" applyFont="1" applyBorder="1"/>
    <xf numFmtId="0" fontId="16" fillId="0" borderId="44" xfId="0" applyFont="1" applyBorder="1"/>
    <xf numFmtId="0" fontId="16" fillId="0" borderId="40" xfId="0" applyFont="1" applyBorder="1"/>
    <xf numFmtId="0" fontId="5" fillId="0" borderId="0" xfId="0" applyFont="1"/>
    <xf numFmtId="0" fontId="4" fillId="0" borderId="40" xfId="0" applyFont="1" applyBorder="1"/>
    <xf numFmtId="9" fontId="4" fillId="0" borderId="40" xfId="0" applyNumberFormat="1" applyFont="1" applyBorder="1"/>
    <xf numFmtId="170" fontId="4" fillId="0" borderId="40" xfId="0" applyNumberFormat="1" applyFont="1" applyBorder="1"/>
    <xf numFmtId="0" fontId="16" fillId="0" borderId="21" xfId="0" applyFont="1" applyBorder="1"/>
    <xf numFmtId="0" fontId="16" fillId="0" borderId="22" xfId="0" applyFont="1" applyBorder="1"/>
    <xf numFmtId="170" fontId="4" fillId="0" borderId="24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9" fontId="3" fillId="0" borderId="36" xfId="2" applyFont="1" applyBorder="1" applyAlignment="1" applyProtection="1"/>
    <xf numFmtId="9" fontId="3" fillId="0" borderId="12" xfId="2" applyFont="1" applyBorder="1" applyAlignment="1" applyProtection="1">
      <alignment horizontal="center"/>
    </xf>
    <xf numFmtId="9" fontId="3" fillId="0" borderId="21" xfId="2" applyFont="1" applyBorder="1" applyAlignment="1" applyProtection="1"/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>
      <alignment horizontal="right"/>
    </xf>
    <xf numFmtId="10" fontId="3" fillId="0" borderId="12" xfId="2" applyNumberFormat="1" applyFont="1" applyBorder="1" applyAlignment="1" applyProtection="1">
      <alignment horizontal="right"/>
    </xf>
    <xf numFmtId="10" fontId="3" fillId="0" borderId="21" xfId="2" applyNumberFormat="1" applyFont="1" applyBorder="1" applyAlignment="1" applyProtection="1">
      <alignment horizontal="right"/>
    </xf>
    <xf numFmtId="0" fontId="3" fillId="0" borderId="3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36" xfId="2" applyNumberFormat="1" applyFont="1" applyBorder="1" applyAlignment="1" applyProtection="1"/>
    <xf numFmtId="10" fontId="3" fillId="0" borderId="12" xfId="2" applyNumberFormat="1" applyFont="1" applyBorder="1" applyAlignment="1" applyProtection="1">
      <alignment horizontal="center"/>
    </xf>
    <xf numFmtId="10" fontId="3" fillId="0" borderId="21" xfId="2" applyNumberFormat="1" applyFont="1" applyBorder="1" applyAlignment="1" applyProtection="1"/>
    <xf numFmtId="0" fontId="3" fillId="0" borderId="36" xfId="0" applyFont="1" applyBorder="1"/>
    <xf numFmtId="0" fontId="3" fillId="0" borderId="39" xfId="0" applyFont="1" applyBorder="1" applyAlignment="1">
      <alignment horizontal="left" vertical="center"/>
    </xf>
    <xf numFmtId="10" fontId="3" fillId="0" borderId="4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0" fontId="3" fillId="0" borderId="3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3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4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10" fontId="4" fillId="4" borderId="31" xfId="0" applyNumberFormat="1" applyFont="1" applyFill="1" applyBorder="1" applyAlignment="1">
      <alignment horizontal="center" vertical="center" wrapText="1"/>
    </xf>
    <xf numFmtId="10" fontId="3" fillId="0" borderId="37" xfId="2" applyNumberFormat="1" applyFont="1" applyBorder="1" applyAlignment="1" applyProtection="1">
      <alignment horizontal="right"/>
    </xf>
    <xf numFmtId="10" fontId="3" fillId="0" borderId="14" xfId="2" applyNumberFormat="1" applyFont="1" applyBorder="1" applyAlignment="1" applyProtection="1">
      <alignment horizontal="right"/>
    </xf>
    <xf numFmtId="10" fontId="3" fillId="0" borderId="38" xfId="2" applyNumberFormat="1" applyFont="1" applyBorder="1" applyAlignment="1" applyProtection="1">
      <alignment horizontal="right"/>
    </xf>
    <xf numFmtId="0" fontId="16" fillId="0" borderId="36" xfId="0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2" fontId="15" fillId="8" borderId="12" xfId="0" applyNumberFormat="1" applyFont="1" applyFill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2" fontId="15" fillId="8" borderId="14" xfId="0" applyNumberFormat="1" applyFont="1" applyFill="1" applyBorder="1" applyAlignment="1">
      <alignment horizontal="right" vertical="center"/>
    </xf>
    <xf numFmtId="0" fontId="0" fillId="0" borderId="48" xfId="0" applyFont="1" applyBorder="1"/>
    <xf numFmtId="0" fontId="18" fillId="0" borderId="48" xfId="0" applyFont="1" applyBorder="1" applyAlignment="1">
      <alignment horizontal="justify"/>
    </xf>
    <xf numFmtId="0" fontId="18" fillId="0" borderId="49" xfId="0" applyFont="1" applyBorder="1" applyAlignment="1">
      <alignment horizontal="justify"/>
    </xf>
    <xf numFmtId="0" fontId="20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0" xfId="0" applyFont="1"/>
    <xf numFmtId="0" fontId="0" fillId="8" borderId="12" xfId="0" applyFont="1" applyFill="1" applyBorder="1" applyAlignment="1">
      <alignment horizontal="center"/>
    </xf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37" xfId="0" applyFont="1" applyBorder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164" fontId="0" fillId="0" borderId="29" xfId="1" applyFont="1" applyFill="1" applyBorder="1" applyAlignment="1" applyProtection="1">
      <alignment horizontal="center" vertical="center"/>
    </xf>
    <xf numFmtId="169" fontId="0" fillId="0" borderId="29" xfId="1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3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167" fontId="0" fillId="0" borderId="11" xfId="1" applyNumberFormat="1" applyFont="1" applyBorder="1" applyAlignment="1" applyProtection="1">
      <alignment vertical="center"/>
    </xf>
    <xf numFmtId="0" fontId="21" fillId="9" borderId="0" xfId="0" applyFont="1" applyFill="1" applyBorder="1"/>
    <xf numFmtId="0" fontId="27" fillId="9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5" fillId="3" borderId="0" xfId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2" fontId="5" fillId="8" borderId="0" xfId="0" applyNumberFormat="1" applyFont="1" applyFill="1" applyAlignment="1">
      <alignment horizontal="center"/>
    </xf>
    <xf numFmtId="0" fontId="28" fillId="8" borderId="12" xfId="0" applyFont="1" applyFill="1" applyBorder="1"/>
    <xf numFmtId="164" fontId="13" fillId="0" borderId="12" xfId="1" applyFont="1" applyBorder="1" applyAlignment="1" applyProtection="1">
      <alignment horizontal="center" vertical="center"/>
    </xf>
    <xf numFmtId="164" fontId="13" fillId="0" borderId="29" xfId="1" applyFont="1" applyBorder="1" applyAlignment="1" applyProtection="1">
      <alignment horizontal="center" vertical="center"/>
    </xf>
    <xf numFmtId="3" fontId="13" fillId="0" borderId="12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/>
    </xf>
    <xf numFmtId="0" fontId="28" fillId="0" borderId="29" xfId="0" applyFont="1" applyBorder="1" applyAlignment="1">
      <alignment vertical="center"/>
    </xf>
    <xf numFmtId="43" fontId="0" fillId="0" borderId="0" xfId="0" applyNumberFormat="1"/>
    <xf numFmtId="0" fontId="29" fillId="0" borderId="0" xfId="0" applyFont="1" applyAlignment="1">
      <alignment vertical="center"/>
    </xf>
    <xf numFmtId="0" fontId="30" fillId="0" borderId="0" xfId="0" applyFont="1"/>
    <xf numFmtId="3" fontId="0" fillId="8" borderId="12" xfId="0" applyNumberFormat="1" applyFont="1" applyFill="1" applyBorder="1" applyAlignment="1">
      <alignment horizontal="center"/>
    </xf>
    <xf numFmtId="43" fontId="0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1" fillId="2" borderId="5" xfId="1" applyFont="1" applyFill="1" applyBorder="1" applyAlignment="1" applyProtection="1">
      <alignment horizontal="center" vertical="center"/>
    </xf>
    <xf numFmtId="164" fontId="5" fillId="0" borderId="1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center"/>
    </xf>
    <xf numFmtId="164" fontId="5" fillId="0" borderId="19" xfId="1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4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9" fontId="4" fillId="0" borderId="35" xfId="2" applyFont="1" applyBorder="1" applyAlignment="1" applyProtection="1">
      <alignment horizontal="center"/>
    </xf>
    <xf numFmtId="0" fontId="3" fillId="0" borderId="30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BFBFB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6</xdr:row>
      <xdr:rowOff>28440</xdr:rowOff>
    </xdr:from>
    <xdr:to>
      <xdr:col>0</xdr:col>
      <xdr:colOff>1418760</xdr:colOff>
      <xdr:row>8</xdr:row>
      <xdr:rowOff>66240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556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85680</xdr:colOff>
      <xdr:row>9</xdr:row>
      <xdr:rowOff>9360</xdr:rowOff>
    </xdr:from>
    <xdr:to>
      <xdr:col>0</xdr:col>
      <xdr:colOff>2123640</xdr:colOff>
      <xdr:row>11</xdr:row>
      <xdr:rowOff>56520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240"/>
          <a:ext cx="2037960" cy="371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9"/>
  <sheetViews>
    <sheetView view="pageBreakPreview" topLeftCell="A143" zoomScaleSheetLayoutView="100" zoomScalePageLayoutView="115" workbookViewId="0">
      <selection activeCell="C111" sqref="C111"/>
    </sheetView>
  </sheetViews>
  <sheetFormatPr defaultRowHeight="12.75" x14ac:dyDescent="0.2"/>
  <cols>
    <col min="1" max="1" width="49" style="1"/>
    <col min="2" max="2" width="15.85546875" style="1"/>
    <col min="3" max="3" width="11.5703125" style="1"/>
    <col min="4" max="4" width="14.42578125" style="2"/>
    <col min="5" max="5" width="15.28515625" style="2"/>
    <col min="6" max="6" width="16.28515625" style="2"/>
    <col min="7" max="7" width="27.85546875" style="2"/>
    <col min="8" max="8" width="9" style="1"/>
    <col min="9" max="9" width="14.28515625" style="1"/>
    <col min="10" max="10" width="13.28515625" style="1"/>
    <col min="11" max="1025" width="9" style="1"/>
  </cols>
  <sheetData>
    <row r="1" spans="1:1024" ht="15.6" customHeight="1" x14ac:dyDescent="0.2">
      <c r="A1" s="280" t="s">
        <v>237</v>
      </c>
      <c r="B1" s="281"/>
      <c r="C1" s="281"/>
      <c r="D1" s="281"/>
      <c r="E1" s="281"/>
      <c r="F1" s="2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">
      <c r="A2" s="4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" customFormat="1" ht="18" x14ac:dyDescent="0.2">
      <c r="A3" s="282" t="s">
        <v>222</v>
      </c>
      <c r="B3" s="283"/>
      <c r="C3" s="283"/>
      <c r="D3" s="283"/>
      <c r="E3" s="283"/>
      <c r="F3" s="283"/>
      <c r="G3" s="5"/>
    </row>
    <row r="4" spans="1:1024" ht="21.75" customHeight="1" x14ac:dyDescent="0.2">
      <c r="A4" s="285" t="s">
        <v>0</v>
      </c>
      <c r="B4" s="285"/>
      <c r="C4" s="285"/>
      <c r="D4" s="285"/>
      <c r="E4" s="285"/>
      <c r="F4" s="285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0.9" customHeight="1" x14ac:dyDescent="0.2">
      <c r="A5" s="7"/>
      <c r="B5" s="8"/>
      <c r="C5" s="8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x14ac:dyDescent="0.2">
      <c r="A6" s="286" t="s">
        <v>1</v>
      </c>
      <c r="B6" s="286"/>
      <c r="C6" s="286"/>
      <c r="D6" s="286"/>
      <c r="E6" s="286"/>
      <c r="F6" s="28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customHeight="1" x14ac:dyDescent="0.2">
      <c r="A7" s="10" t="s">
        <v>2</v>
      </c>
      <c r="B7" s="11"/>
      <c r="C7" s="11"/>
      <c r="D7" s="12"/>
      <c r="E7" s="13" t="s">
        <v>3</v>
      </c>
      <c r="F7" s="14" t="s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1" customFormat="1" ht="15.75" customHeight="1" x14ac:dyDescent="0.2">
      <c r="A8" s="15" t="str">
        <f>+A33</f>
        <v>1. Serviços</v>
      </c>
      <c r="B8" s="16"/>
      <c r="C8" s="17"/>
      <c r="D8" s="17"/>
      <c r="E8" s="18">
        <f>+F59</f>
        <v>4405.2831312396693</v>
      </c>
      <c r="F8" s="19">
        <f t="shared" ref="F8:F21" si="0">IFERROR(E8/$E$22,0)</f>
        <v>0.27235327114956098</v>
      </c>
      <c r="G8" s="20"/>
    </row>
    <row r="9" spans="1:1024" ht="15.75" customHeight="1" x14ac:dyDescent="0.2">
      <c r="A9" s="22" t="str">
        <f>A35</f>
        <v xml:space="preserve">1.1. Motorista </v>
      </c>
      <c r="B9" s="23"/>
      <c r="C9" s="24"/>
      <c r="D9" s="24"/>
      <c r="E9" s="25">
        <f>F49</f>
        <v>3991.2831312396693</v>
      </c>
      <c r="F9" s="26">
        <f t="shared" si="0"/>
        <v>0.24675803676920266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75" customHeight="1" x14ac:dyDescent="0.2">
      <c r="A10" s="22" t="str">
        <f>A51</f>
        <v>1.2. Vale alimentação</v>
      </c>
      <c r="B10" s="23"/>
      <c r="C10" s="24"/>
      <c r="D10" s="24"/>
      <c r="E10" s="25">
        <f>F56</f>
        <v>414</v>
      </c>
      <c r="F10" s="26">
        <f t="shared" si="0"/>
        <v>2.5595234380358347E-2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21" customFormat="1" ht="15.75" customHeight="1" x14ac:dyDescent="0.2">
      <c r="A11" s="287" t="str">
        <f>+A61</f>
        <v>2. Uniformes e Equipamentos de Proteção Individual</v>
      </c>
      <c r="B11" s="287"/>
      <c r="C11" s="287"/>
      <c r="D11" s="17"/>
      <c r="E11" s="18">
        <f>+F69</f>
        <v>10.878</v>
      </c>
      <c r="F11" s="19">
        <f t="shared" si="0"/>
        <v>6.7252405697956058E-4</v>
      </c>
      <c r="G11" s="20"/>
    </row>
    <row r="12" spans="1:1024" ht="15.75" customHeight="1" x14ac:dyDescent="0.2">
      <c r="A12" s="27" t="str">
        <f>+A71</f>
        <v>3. Veículos e Equipamentos</v>
      </c>
      <c r="B12" s="28"/>
      <c r="C12" s="17"/>
      <c r="D12" s="17"/>
      <c r="E12" s="18">
        <f>+F132</f>
        <v>7430.9684875583334</v>
      </c>
      <c r="F12" s="19">
        <f t="shared" si="0"/>
        <v>0.45941396162346021</v>
      </c>
      <c r="G12" s="2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x14ac:dyDescent="0.2">
      <c r="A13" s="29" t="str">
        <f>A73</f>
        <v>3.1. Veículo Ônibus Urbano Capacidade 44 passageiros - Ano mínimo 2013</v>
      </c>
      <c r="B13" s="30"/>
      <c r="C13" s="24"/>
      <c r="D13" s="24"/>
      <c r="E13" s="25">
        <f>SUM(E14:E19)</f>
        <v>7430.9684875583334</v>
      </c>
      <c r="F13" s="26">
        <f t="shared" si="0"/>
        <v>0.45941396162346021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29" t="str">
        <f>A75</f>
        <v>3.1.1. Depreciação</v>
      </c>
      <c r="B14" s="30"/>
      <c r="C14" s="24"/>
      <c r="D14" s="24"/>
      <c r="E14" s="25">
        <f>F84</f>
        <v>974.7777633333335</v>
      </c>
      <c r="F14" s="26">
        <f t="shared" si="0"/>
        <v>6.0264892080382E-2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29" t="str">
        <f>A86</f>
        <v>3.1.2. Remuneração do Capital</v>
      </c>
      <c r="B15" s="30"/>
      <c r="C15" s="24"/>
      <c r="D15" s="24"/>
      <c r="E15" s="25">
        <f>F95</f>
        <v>686.96333755833325</v>
      </c>
      <c r="F15" s="26">
        <f t="shared" si="0"/>
        <v>4.2470984626856924E-2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29" t="str">
        <f>A97</f>
        <v>3.1.3. Impostos e Seguros</v>
      </c>
      <c r="B16" s="30"/>
      <c r="C16" s="24"/>
      <c r="D16" s="24"/>
      <c r="E16" s="25">
        <f>F103</f>
        <v>567.57399999999996</v>
      </c>
      <c r="F16" s="26">
        <f t="shared" si="0"/>
        <v>3.5089829850718617E-2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">
      <c r="A17" s="29" t="str">
        <f>A106</f>
        <v>3.1.4. Consumos</v>
      </c>
      <c r="B17" s="30"/>
      <c r="C17" s="24"/>
      <c r="D17" s="24"/>
      <c r="E17" s="25">
        <f>F114</f>
        <v>3128.0786666666668</v>
      </c>
      <c r="F17" s="26">
        <f t="shared" si="0"/>
        <v>0.19339107882495693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">
      <c r="A18" s="29" t="str">
        <f>A116</f>
        <v>3.1.5. Manutenção</v>
      </c>
      <c r="B18" s="30"/>
      <c r="C18" s="24"/>
      <c r="D18" s="24"/>
      <c r="E18" s="25">
        <f>F119</f>
        <v>888</v>
      </c>
      <c r="F18" s="26">
        <f t="shared" si="0"/>
        <v>5.4899923018739645E-2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customHeight="1" x14ac:dyDescent="0.2">
      <c r="A19" s="29" t="str">
        <f>A121</f>
        <v>3.1.6. Pneus</v>
      </c>
      <c r="B19" s="30"/>
      <c r="C19" s="24"/>
      <c r="D19" s="24"/>
      <c r="E19" s="25">
        <f>F129</f>
        <v>1185.5747200000001</v>
      </c>
      <c r="F19" s="26">
        <f t="shared" si="0"/>
        <v>7.3297253221806094E-2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21" customFormat="1" ht="15.75" customHeight="1" x14ac:dyDescent="0.2">
      <c r="A20" s="27" t="str">
        <f>+A135</f>
        <v>4. Monitoramento da Frota</v>
      </c>
      <c r="B20" s="28"/>
      <c r="C20" s="17"/>
      <c r="D20" s="17"/>
      <c r="E20" s="18">
        <f>+F143</f>
        <v>0</v>
      </c>
      <c r="F20" s="19">
        <f t="shared" si="0"/>
        <v>0</v>
      </c>
      <c r="G20" s="20"/>
    </row>
    <row r="21" spans="1:1024" ht="15.75" customHeight="1" x14ac:dyDescent="0.2">
      <c r="A21" s="27" t="str">
        <f>+A147</f>
        <v>5. Benefícios e Despesas Indiretas - BDI</v>
      </c>
      <c r="B21" s="28"/>
      <c r="C21" s="17"/>
      <c r="D21" s="17"/>
      <c r="E21" s="31">
        <f>+F153</f>
        <v>4327.7564497469102</v>
      </c>
      <c r="F21" s="19">
        <f t="shared" si="0"/>
        <v>0.26756024316999927</v>
      </c>
      <c r="G21" s="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75" customHeight="1" x14ac:dyDescent="0.2">
      <c r="A22" s="32" t="s">
        <v>206</v>
      </c>
      <c r="B22" s="33"/>
      <c r="C22" s="34"/>
      <c r="D22" s="34"/>
      <c r="E22" s="35">
        <f>E8+E11+E12+E20+E21</f>
        <v>16174.886068544913</v>
      </c>
      <c r="F22" s="36">
        <f>F8+F11+F12+F20+F21</f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286" t="s">
        <v>5</v>
      </c>
      <c r="B25" s="286"/>
      <c r="C25" s="286"/>
      <c r="D25" s="286"/>
      <c r="E25" s="28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289" t="s">
        <v>6</v>
      </c>
      <c r="B26" s="289"/>
      <c r="C26" s="289"/>
      <c r="D26" s="289"/>
      <c r="E26" s="37" t="s">
        <v>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38" t="str">
        <f>+A11</f>
        <v>2. Uniformes e Equipamentos de Proteção Individual</v>
      </c>
      <c r="B27" s="11"/>
      <c r="C27" s="11"/>
      <c r="D27" s="39"/>
      <c r="E27" s="40">
        <v>2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thickBot="1" x14ac:dyDescent="0.25">
      <c r="A28" s="42" t="s">
        <v>8</v>
      </c>
      <c r="B28" s="43"/>
      <c r="C28" s="43"/>
      <c r="D28" s="44"/>
      <c r="E28" s="45">
        <v>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46"/>
      <c r="B29" s="47"/>
      <c r="C29" s="2"/>
      <c r="E29" s="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290" t="s">
        <v>9</v>
      </c>
      <c r="B30" s="290"/>
      <c r="C30" s="290"/>
      <c r="D30" s="290"/>
      <c r="E30" s="37" t="s">
        <v>7</v>
      </c>
      <c r="F30" s="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x14ac:dyDescent="0.2">
      <c r="A31" s="48" t="str">
        <f>+A73</f>
        <v>3.1. Veículo Ônibus Urbano Capacidade 44 passageiros - Ano mínimo 2013</v>
      </c>
      <c r="B31" s="49"/>
      <c r="C31" s="49"/>
      <c r="D31" s="50"/>
      <c r="E31" s="51">
        <f>C83</f>
        <v>1</v>
      </c>
      <c r="F31" s="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" customHeight="1" x14ac:dyDescent="0.2">
      <c r="A32" s="2"/>
      <c r="B32" s="2"/>
      <c r="C32" s="2"/>
      <c r="D32" s="52"/>
      <c r="E32" s="53"/>
      <c r="F32" s="5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5" ht="13.15" customHeight="1" x14ac:dyDescent="0.2">
      <c r="A33" s="21" t="s">
        <v>207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5" ht="11.2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5" ht="13.9" customHeight="1" thickBot="1" x14ac:dyDescent="0.25">
      <c r="A35" s="248" t="s">
        <v>240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5" ht="13.9" customHeight="1" thickBot="1" x14ac:dyDescent="0.25">
      <c r="A36" s="54" t="s">
        <v>10</v>
      </c>
      <c r="B36" s="55" t="s">
        <v>11</v>
      </c>
      <c r="C36" s="55" t="s">
        <v>7</v>
      </c>
      <c r="D36" s="56">
        <v>1280.8</v>
      </c>
      <c r="E36" s="56" t="s">
        <v>12</v>
      </c>
      <c r="F36" s="57" t="s">
        <v>13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5" ht="13.15" customHeight="1" x14ac:dyDescent="0.2">
      <c r="A37" s="58" t="s">
        <v>224</v>
      </c>
      <c r="B37" s="59" t="s">
        <v>14</v>
      </c>
      <c r="C37" s="59">
        <v>1</v>
      </c>
      <c r="D37" s="60">
        <f>2595.81/220*200</f>
        <v>2359.8272727272724</v>
      </c>
      <c r="E37" s="60">
        <f>C37*D37</f>
        <v>2359.8272727272724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5" ht="13.15" customHeight="1" x14ac:dyDescent="0.2">
      <c r="A38" s="58" t="s">
        <v>225</v>
      </c>
      <c r="B38" s="96"/>
      <c r="C38" s="96">
        <v>0</v>
      </c>
      <c r="D38" s="60">
        <f>1664.56/220*200</f>
        <v>1513.2363636363634</v>
      </c>
      <c r="E38" s="60">
        <f>C38*D38</f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 s="65"/>
    </row>
    <row r="39" spans="1:1025" ht="13.15" customHeight="1" x14ac:dyDescent="0.2">
      <c r="A39" s="249" t="s">
        <v>193</v>
      </c>
      <c r="B39" s="59" t="s">
        <v>14</v>
      </c>
      <c r="C39" s="59">
        <v>0</v>
      </c>
      <c r="D39" s="241">
        <v>1320</v>
      </c>
      <c r="E39" s="60">
        <f>C39*D39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5" ht="13.15" customHeight="1" x14ac:dyDescent="0.2">
      <c r="A40" s="61" t="s">
        <v>15</v>
      </c>
      <c r="B40" s="62" t="s">
        <v>16</v>
      </c>
      <c r="C40" s="63">
        <v>0</v>
      </c>
      <c r="D40" s="64">
        <v>0</v>
      </c>
      <c r="E40" s="60">
        <f>C40*D40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5" ht="13.15" customHeight="1" x14ac:dyDescent="0.2">
      <c r="A41" s="61" t="s">
        <v>17</v>
      </c>
      <c r="B41" s="62" t="s">
        <v>16</v>
      </c>
      <c r="C41" s="261">
        <v>0</v>
      </c>
      <c r="D41" s="64">
        <v>0</v>
      </c>
      <c r="E41" s="64">
        <f>C41*D41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5" ht="13.15" customHeight="1" x14ac:dyDescent="0.2">
      <c r="A42" s="61" t="s">
        <v>18</v>
      </c>
      <c r="B42" s="62" t="s">
        <v>19</v>
      </c>
      <c r="C42" s="65">
        <v>0</v>
      </c>
      <c r="D42" s="64">
        <v>0</v>
      </c>
      <c r="E42" s="64">
        <f>D42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5" ht="13.15" customHeight="1" x14ac:dyDescent="0.2">
      <c r="A43" s="61" t="s">
        <v>236</v>
      </c>
      <c r="B43" s="278">
        <v>2</v>
      </c>
      <c r="C43" s="66">
        <v>40</v>
      </c>
      <c r="D43" s="64">
        <f>D37/220*20%</f>
        <v>2.1452975206611571</v>
      </c>
      <c r="E43" s="64">
        <f>D43*C43</f>
        <v>85.811900826446276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5" x14ac:dyDescent="0.2">
      <c r="A44" s="61" t="s">
        <v>20</v>
      </c>
      <c r="B44" s="62" t="s">
        <v>4</v>
      </c>
      <c r="C44" s="260">
        <v>0</v>
      </c>
      <c r="D44" s="64">
        <f>C43*B43</f>
        <v>80</v>
      </c>
      <c r="E44" s="64">
        <f>C44*D44/100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5" x14ac:dyDescent="0.2">
      <c r="A45" s="67" t="s">
        <v>21</v>
      </c>
      <c r="B45" s="68"/>
      <c r="C45" s="68"/>
      <c r="D45" s="69"/>
      <c r="E45" s="70">
        <f>SUM(E37:E44)</f>
        <v>2445.6391735537186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5" x14ac:dyDescent="0.2">
      <c r="A46" s="61" t="s">
        <v>22</v>
      </c>
      <c r="B46" s="62" t="s">
        <v>4</v>
      </c>
      <c r="C46" s="64">
        <f>'2.Encargos Sociais'!C33*100</f>
        <v>63.20000000000001</v>
      </c>
      <c r="D46" s="64">
        <f>E45</f>
        <v>2445.6391735537186</v>
      </c>
      <c r="E46" s="64">
        <f>D46*C46/100</f>
        <v>1545.6439576859505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5" x14ac:dyDescent="0.2">
      <c r="A47" s="67" t="s">
        <v>233</v>
      </c>
      <c r="B47" s="68"/>
      <c r="C47" s="68"/>
      <c r="D47" s="69"/>
      <c r="E47" s="70">
        <f>E45+E46</f>
        <v>3991.2831312396693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5" ht="13.5" thickBot="1" x14ac:dyDescent="0.25">
      <c r="A48" s="61" t="s">
        <v>23</v>
      </c>
      <c r="B48" s="62" t="s">
        <v>24</v>
      </c>
      <c r="C48" s="71">
        <v>1</v>
      </c>
      <c r="D48" s="64">
        <f>E47</f>
        <v>3991.2831312396693</v>
      </c>
      <c r="E48" s="64">
        <f>C48*D48</f>
        <v>3991.2831312396693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3.9" customHeight="1" thickBot="1" x14ac:dyDescent="0.25">
      <c r="A49"/>
      <c r="B49"/>
      <c r="C49"/>
      <c r="D49" s="72" t="s">
        <v>25</v>
      </c>
      <c r="E49" s="73">
        <v>1</v>
      </c>
      <c r="F49" s="74">
        <f>E48*E49</f>
        <v>3991.2831312396693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3.5" thickBot="1" x14ac:dyDescent="0.25">
      <c r="A51" s="248" t="s">
        <v>226</v>
      </c>
      <c r="B51"/>
      <c r="C51"/>
      <c r="D51"/>
      <c r="E51"/>
      <c r="F51" s="20"/>
      <c r="G51" s="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">
      <c r="A52" s="54" t="s">
        <v>10</v>
      </c>
      <c r="B52" s="55" t="s">
        <v>11</v>
      </c>
      <c r="C52" s="55" t="s">
        <v>7</v>
      </c>
      <c r="D52" s="56" t="s">
        <v>26</v>
      </c>
      <c r="E52" s="56" t="s">
        <v>12</v>
      </c>
      <c r="F52" s="57" t="s">
        <v>13</v>
      </c>
      <c r="G52" s="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">
      <c r="A53" s="250" t="s">
        <v>227</v>
      </c>
      <c r="B53" s="62" t="s">
        <v>27</v>
      </c>
      <c r="C53" s="78">
        <v>1</v>
      </c>
      <c r="D53" s="268">
        <v>414</v>
      </c>
      <c r="E53" s="73">
        <f>C53*D53</f>
        <v>414</v>
      </c>
      <c r="F53" s="20"/>
      <c r="G53" s="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">
      <c r="A54" s="291" t="s">
        <v>28</v>
      </c>
      <c r="B54" s="291"/>
      <c r="C54" s="291"/>
      <c r="D54" s="291"/>
      <c r="E54" s="73">
        <f>SUM(E53:E53)</f>
        <v>414</v>
      </c>
      <c r="F54" s="20"/>
      <c r="G54" s="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3.5" thickBot="1" x14ac:dyDescent="0.25">
      <c r="A55" s="61" t="s">
        <v>23</v>
      </c>
      <c r="B55" s="62" t="s">
        <v>27</v>
      </c>
      <c r="C55" s="78">
        <v>1</v>
      </c>
      <c r="D55" s="79"/>
      <c r="E55" s="73"/>
      <c r="F55" s="20"/>
      <c r="G55" s="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3.5" thickBot="1" x14ac:dyDescent="0.25">
      <c r="A56" s="61"/>
      <c r="B56" s="61"/>
      <c r="C56" s="61"/>
      <c r="D56" s="80" t="s">
        <v>25</v>
      </c>
      <c r="E56" s="73">
        <v>1</v>
      </c>
      <c r="F56" s="81">
        <f>E54*E56</f>
        <v>414</v>
      </c>
      <c r="G56" s="1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">
      <c r="A57"/>
      <c r="B57"/>
      <c r="C57"/>
      <c r="D57"/>
      <c r="E57"/>
      <c r="F57"/>
      <c r="G57" s="1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3.5" thickBot="1" x14ac:dyDescent="0.25"/>
    <row r="59" spans="1:1024" x14ac:dyDescent="0.2">
      <c r="A59" s="83" t="s">
        <v>29</v>
      </c>
      <c r="B59" s="84"/>
      <c r="C59" s="84"/>
      <c r="D59" s="34"/>
      <c r="E59" s="85"/>
      <c r="F59" s="82">
        <f>F49+F56</f>
        <v>4405.2831312396693</v>
      </c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1.25" customHeight="1" x14ac:dyDescent="0.2">
      <c r="A60"/>
      <c r="B60"/>
      <c r="C60"/>
      <c r="D60"/>
      <c r="E60"/>
      <c r="F60"/>
      <c r="G60" s="1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9" customHeight="1" x14ac:dyDescent="0.2">
      <c r="A61" s="21" t="s">
        <v>30</v>
      </c>
      <c r="B61"/>
      <c r="C61"/>
      <c r="D61"/>
      <c r="E61"/>
      <c r="F61"/>
      <c r="G61" s="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1.25" customHeight="1" x14ac:dyDescent="0.2">
      <c r="A62"/>
      <c r="B62"/>
      <c r="C62"/>
      <c r="D62"/>
      <c r="E62"/>
      <c r="F62"/>
      <c r="G62" s="1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thickBot="1" x14ac:dyDescent="0.25">
      <c r="A63" s="248" t="s">
        <v>194</v>
      </c>
      <c r="B63"/>
      <c r="C63"/>
      <c r="D63"/>
      <c r="E63"/>
      <c r="F63"/>
      <c r="G63" s="1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24" customHeight="1" thickBot="1" x14ac:dyDescent="0.25">
      <c r="A64" s="54" t="s">
        <v>10</v>
      </c>
      <c r="B64" s="55" t="s">
        <v>11</v>
      </c>
      <c r="C64" s="86" t="s">
        <v>229</v>
      </c>
      <c r="D64" s="56" t="s">
        <v>26</v>
      </c>
      <c r="E64" s="87" t="s">
        <v>31</v>
      </c>
      <c r="F64" s="57" t="s">
        <v>13</v>
      </c>
      <c r="G64" s="1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9" customHeight="1" thickBot="1" x14ac:dyDescent="0.25">
      <c r="A65" s="250" t="s">
        <v>228</v>
      </c>
      <c r="B65" s="62">
        <v>2</v>
      </c>
      <c r="C65" s="88">
        <v>10</v>
      </c>
      <c r="D65" s="269">
        <f>54.39</f>
        <v>54.39</v>
      </c>
      <c r="E65" s="60">
        <f>D65*B65</f>
        <v>108.78</v>
      </c>
      <c r="F65"/>
      <c r="G65" s="1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9" customHeight="1" thickBot="1" x14ac:dyDescent="0.25">
      <c r="A66" t="s">
        <v>230</v>
      </c>
      <c r="B66"/>
      <c r="C66"/>
      <c r="D66" s="72" t="s">
        <v>25</v>
      </c>
      <c r="E66" s="73">
        <v>4</v>
      </c>
      <c r="F66" s="74">
        <f>E65/C65</f>
        <v>10.878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1.2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1.25" customHeight="1" thickBot="1" x14ac:dyDescent="0.25">
      <c r="A68"/>
      <c r="B68"/>
      <c r="C68"/>
      <c r="D68"/>
      <c r="E68"/>
      <c r="F68"/>
      <c r="G68" s="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">
      <c r="A69" s="83" t="s">
        <v>32</v>
      </c>
      <c r="B69" s="91"/>
      <c r="C69" s="91"/>
      <c r="D69" s="92"/>
      <c r="E69" s="93"/>
      <c r="F69" s="94">
        <f>F66</f>
        <v>10.878</v>
      </c>
      <c r="G69" s="1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1.25" customHeight="1" x14ac:dyDescent="0.2">
      <c r="A70"/>
      <c r="B70"/>
      <c r="C70"/>
      <c r="D70"/>
      <c r="E70"/>
      <c r="F70"/>
      <c r="G70" s="1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">
      <c r="A71" s="21" t="s">
        <v>33</v>
      </c>
      <c r="B71"/>
      <c r="C71"/>
      <c r="D71"/>
      <c r="E71"/>
      <c r="F71"/>
      <c r="G71" s="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1.25" customHeight="1" x14ac:dyDescent="0.2">
      <c r="A72"/>
      <c r="B72" s="95"/>
      <c r="C72"/>
      <c r="D72"/>
      <c r="E72"/>
      <c r="F72"/>
      <c r="G72" s="1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">
      <c r="A73" s="275" t="s">
        <v>223</v>
      </c>
      <c r="B73" s="276"/>
      <c r="C73"/>
      <c r="D73"/>
      <c r="E73" s="274"/>
      <c r="F73"/>
      <c r="G73" s="1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">
      <c r="A74"/>
      <c r="B74"/>
      <c r="C74"/>
      <c r="D74"/>
      <c r="E74"/>
      <c r="F74"/>
      <c r="G74" s="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">
      <c r="A75" s="251" t="s">
        <v>34</v>
      </c>
      <c r="B75"/>
      <c r="C75"/>
      <c r="D75"/>
      <c r="E75"/>
      <c r="F75"/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">
      <c r="A76" s="54" t="s">
        <v>10</v>
      </c>
      <c r="B76" s="55" t="s">
        <v>11</v>
      </c>
      <c r="C76" s="55" t="s">
        <v>7</v>
      </c>
      <c r="D76" s="56" t="s">
        <v>26</v>
      </c>
      <c r="E76" s="56" t="s">
        <v>12</v>
      </c>
      <c r="F76" s="57" t="s">
        <v>13</v>
      </c>
      <c r="G76" s="1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">
      <c r="A77" s="249" t="s">
        <v>196</v>
      </c>
      <c r="B77" s="59" t="s">
        <v>27</v>
      </c>
      <c r="C77" s="96">
        <v>1</v>
      </c>
      <c r="D77" s="269">
        <v>179462</v>
      </c>
      <c r="E77" s="60">
        <f>C77*D77</f>
        <v>179462</v>
      </c>
      <c r="F77"/>
      <c r="G77"/>
      <c r="H77"/>
      <c r="I77" s="97"/>
      <c r="J77" s="9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">
      <c r="A78" s="250" t="s">
        <v>197</v>
      </c>
      <c r="B78" s="62" t="s">
        <v>35</v>
      </c>
      <c r="C78" s="71">
        <v>10</v>
      </c>
      <c r="D78" s="64"/>
      <c r="E78" s="6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">
      <c r="A79" s="61" t="s">
        <v>36</v>
      </c>
      <c r="B79" s="62" t="s">
        <v>35</v>
      </c>
      <c r="C79" s="71">
        <v>0</v>
      </c>
      <c r="D79" s="64"/>
      <c r="E79" s="64"/>
      <c r="F79" s="9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">
      <c r="A80" s="250" t="s">
        <v>198</v>
      </c>
      <c r="B80" s="62" t="s">
        <v>4</v>
      </c>
      <c r="C80" s="64">
        <f>'5. Depreciação'!B14</f>
        <v>65.180000000000007</v>
      </c>
      <c r="D80" s="64">
        <f>E77</f>
        <v>179462</v>
      </c>
      <c r="E80" s="64">
        <f>C80*D80/100</f>
        <v>116973.33160000002</v>
      </c>
      <c r="F80"/>
      <c r="G80" s="1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">
      <c r="A81" s="75" t="s">
        <v>195</v>
      </c>
      <c r="B81" s="99" t="s">
        <v>14</v>
      </c>
      <c r="C81" s="100">
        <f>C78*12</f>
        <v>120</v>
      </c>
      <c r="D81" s="77">
        <f>IF(C79&lt;=C78,E80,0)</f>
        <v>116973.33160000002</v>
      </c>
      <c r="E81" s="77">
        <f>IFERROR(D81/C81,0)</f>
        <v>974.7777633333335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">
      <c r="A82" s="67" t="s">
        <v>37</v>
      </c>
      <c r="B82" s="68"/>
      <c r="C82" s="76"/>
      <c r="D82" s="69"/>
      <c r="E82" s="70">
        <f>E81</f>
        <v>974.7777633333335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1.25" customHeight="1" x14ac:dyDescent="0.2">
      <c r="A83" s="75" t="s">
        <v>38</v>
      </c>
      <c r="B83" s="99" t="s">
        <v>27</v>
      </c>
      <c r="C83" s="71">
        <v>1</v>
      </c>
      <c r="D83" s="77">
        <f>E81</f>
        <v>974.7777633333335</v>
      </c>
      <c r="E83" s="70">
        <f>C83*D83</f>
        <v>974.7777633333335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">
      <c r="A84" s="101"/>
      <c r="B84" s="101"/>
      <c r="C84" s="101"/>
      <c r="D84" s="72" t="s">
        <v>25</v>
      </c>
      <c r="E84" s="73">
        <v>1</v>
      </c>
      <c r="F84" s="94">
        <f>E83*E84</f>
        <v>974.7777633333335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">
      <c r="A85"/>
      <c r="B85"/>
      <c r="C85"/>
      <c r="D85"/>
      <c r="E85"/>
      <c r="F85"/>
      <c r="G85"/>
      <c r="H85"/>
      <c r="I85" s="97"/>
      <c r="J85" s="9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">
      <c r="A86" s="251" t="s">
        <v>39</v>
      </c>
      <c r="B86"/>
      <c r="C86"/>
      <c r="D86"/>
      <c r="E86"/>
      <c r="F86"/>
      <c r="G86"/>
      <c r="H86"/>
      <c r="I86" s="97"/>
      <c r="J86" s="9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">
      <c r="A87" s="102" t="s">
        <v>10</v>
      </c>
      <c r="B87" s="103" t="s">
        <v>11</v>
      </c>
      <c r="C87" s="103" t="s">
        <v>7</v>
      </c>
      <c r="D87" s="56" t="s">
        <v>26</v>
      </c>
      <c r="E87" s="104" t="s">
        <v>12</v>
      </c>
      <c r="F87" s="57" t="s">
        <v>13</v>
      </c>
      <c r="G87"/>
      <c r="H87"/>
      <c r="I87" s="97"/>
      <c r="J87" s="9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">
      <c r="A88" s="250" t="s">
        <v>199</v>
      </c>
      <c r="B88" s="62" t="s">
        <v>27</v>
      </c>
      <c r="C88" s="64">
        <v>1</v>
      </c>
      <c r="D88" s="64">
        <f>D77</f>
        <v>179462</v>
      </c>
      <c r="E88" s="64">
        <f>C88*D88</f>
        <v>179462</v>
      </c>
      <c r="F88" s="98"/>
      <c r="G88"/>
      <c r="H88"/>
      <c r="I88" s="97"/>
      <c r="J88" s="9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">
      <c r="A89" s="61" t="s">
        <v>40</v>
      </c>
      <c r="B89" s="62" t="s">
        <v>4</v>
      </c>
      <c r="C89" s="71">
        <v>6.5</v>
      </c>
      <c r="D89" s="64"/>
      <c r="E89" s="64"/>
      <c r="F89" s="98"/>
      <c r="G89"/>
      <c r="H89"/>
      <c r="I89" s="97"/>
      <c r="J89" s="9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">
      <c r="A90" s="61" t="s">
        <v>41</v>
      </c>
      <c r="B90" s="62" t="s">
        <v>19</v>
      </c>
      <c r="C90" s="105">
        <f>IFERROR(IF(C79&lt;=C78,E77-(C80/(100*C78)*C79)*E77,E77-E80),0)</f>
        <v>179462</v>
      </c>
      <c r="D90" s="64"/>
      <c r="E90" s="64"/>
      <c r="F90" s="98"/>
      <c r="G90"/>
      <c r="H90"/>
      <c r="I90" s="97"/>
      <c r="J90" s="9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">
      <c r="A91" s="250" t="s">
        <v>200</v>
      </c>
      <c r="B91" s="62" t="s">
        <v>19</v>
      </c>
      <c r="C91" s="64">
        <f>IFERROR(IF(C79&gt;=C78,C90,((((C90)-(E77-E80))*(((C78-C79)+1)/(2*(C78-C79))))+(E77-E80))),0)</f>
        <v>126824.00078</v>
      </c>
      <c r="D91" s="64"/>
      <c r="E91" s="64"/>
      <c r="F91" s="98"/>
      <c r="G91"/>
      <c r="H91"/>
      <c r="I91" s="97"/>
      <c r="J91" s="9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">
      <c r="A92" s="75" t="s">
        <v>201</v>
      </c>
      <c r="B92" s="99" t="s">
        <v>19</v>
      </c>
      <c r="C92" s="99"/>
      <c r="D92" s="77">
        <f>C89*C91/12/100</f>
        <v>686.96333755833325</v>
      </c>
      <c r="E92" s="77">
        <f>D92</f>
        <v>686.96333755833325</v>
      </c>
      <c r="F92" s="98"/>
      <c r="G92"/>
      <c r="H92"/>
      <c r="I92" s="97"/>
      <c r="J92" s="9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">
      <c r="A93" s="67" t="s">
        <v>37</v>
      </c>
      <c r="B93" s="68"/>
      <c r="C93" s="68"/>
      <c r="D93" s="69"/>
      <c r="E93" s="70">
        <f>E92</f>
        <v>686.96333755833325</v>
      </c>
      <c r="F93" s="98"/>
      <c r="G93"/>
      <c r="H93"/>
      <c r="I93" s="97"/>
      <c r="J93" s="9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1.25" customHeight="1" x14ac:dyDescent="0.2">
      <c r="A94" s="75" t="s">
        <v>38</v>
      </c>
      <c r="B94" s="99" t="s">
        <v>27</v>
      </c>
      <c r="C94" s="71">
        <f>C83</f>
        <v>1</v>
      </c>
      <c r="D94" s="77">
        <f>E92</f>
        <v>686.96333755833325</v>
      </c>
      <c r="E94" s="70">
        <f>C94*D94</f>
        <v>686.96333755833325</v>
      </c>
      <c r="F94" s="98"/>
      <c r="G94"/>
      <c r="H94"/>
      <c r="I94" s="97"/>
      <c r="J94" s="9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">
      <c r="A95"/>
      <c r="B95"/>
      <c r="C95" s="106"/>
      <c r="D95" s="72" t="s">
        <v>25</v>
      </c>
      <c r="E95" s="73">
        <f>E84</f>
        <v>1</v>
      </c>
      <c r="F95" s="94">
        <f>E94*E95</f>
        <v>686.96333755833325</v>
      </c>
      <c r="G95"/>
      <c r="H95"/>
      <c r="I95" s="97"/>
      <c r="J95" s="97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">
      <c r="A96"/>
      <c r="B96"/>
      <c r="C96"/>
      <c r="D96"/>
      <c r="E96"/>
      <c r="F96"/>
      <c r="G96"/>
      <c r="H96"/>
      <c r="I96" s="97"/>
      <c r="J96" s="9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5" x14ac:dyDescent="0.2">
      <c r="A97" s="1" t="s">
        <v>42</v>
      </c>
      <c r="B97"/>
      <c r="C97"/>
      <c r="D97"/>
      <c r="E97"/>
      <c r="F97"/>
      <c r="G97"/>
      <c r="H97"/>
      <c r="I97" s="97"/>
      <c r="J97" s="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ht="13.5" thickBot="1" x14ac:dyDescent="0.25">
      <c r="A98" s="54" t="s">
        <v>10</v>
      </c>
      <c r="B98" s="55" t="s">
        <v>11</v>
      </c>
      <c r="C98" s="55" t="s">
        <v>7</v>
      </c>
      <c r="D98" s="56" t="s">
        <v>26</v>
      </c>
      <c r="E98" s="56" t="s">
        <v>12</v>
      </c>
      <c r="F98" s="57" t="s">
        <v>13</v>
      </c>
      <c r="G98"/>
      <c r="H98"/>
      <c r="I98" s="97"/>
      <c r="J98" s="97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x14ac:dyDescent="0.2">
      <c r="A99" s="58" t="s">
        <v>43</v>
      </c>
      <c r="B99" s="59" t="s">
        <v>27</v>
      </c>
      <c r="C99" s="60">
        <f>C77</f>
        <v>1</v>
      </c>
      <c r="D99" s="269">
        <f>D88*2%</f>
        <v>3589.2400000000002</v>
      </c>
      <c r="E99" s="60">
        <f>C99*D99</f>
        <v>3589.2400000000002</v>
      </c>
      <c r="F99"/>
      <c r="G99"/>
      <c r="H99"/>
      <c r="I99" s="97"/>
      <c r="J99" s="9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x14ac:dyDescent="0.2">
      <c r="A100" s="61" t="s">
        <v>44</v>
      </c>
      <c r="B100" s="62" t="s">
        <v>27</v>
      </c>
      <c r="C100" s="60">
        <f>C77</f>
        <v>1</v>
      </c>
      <c r="D100" s="268">
        <v>86.5</v>
      </c>
      <c r="E100" s="64">
        <f>C100*D100</f>
        <v>86.5</v>
      </c>
      <c r="F100"/>
      <c r="G100"/>
      <c r="H100"/>
      <c r="I100" s="97"/>
      <c r="J100" s="9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5" x14ac:dyDescent="0.2">
      <c r="A101" s="250" t="s">
        <v>204</v>
      </c>
      <c r="B101" s="62" t="s">
        <v>27</v>
      </c>
      <c r="C101" s="60">
        <f>C77</f>
        <v>1</v>
      </c>
      <c r="D101" s="268">
        <v>2000</v>
      </c>
      <c r="E101" s="64">
        <f>C101*D101</f>
        <v>2000</v>
      </c>
      <c r="F101" s="69"/>
      <c r="G101"/>
      <c r="H101"/>
      <c r="I101" s="97"/>
      <c r="J101" s="9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ht="11.25" customHeight="1" thickBot="1" x14ac:dyDescent="0.25">
      <c r="A102" s="75" t="s">
        <v>45</v>
      </c>
      <c r="B102" s="99" t="s">
        <v>14</v>
      </c>
      <c r="C102" s="100">
        <v>10</v>
      </c>
      <c r="D102" s="77">
        <f>SUM(E99:E101)</f>
        <v>5675.74</v>
      </c>
      <c r="E102" s="77">
        <f>D102/C102</f>
        <v>567.57399999999996</v>
      </c>
      <c r="F102"/>
      <c r="G102"/>
      <c r="H102"/>
      <c r="I102" s="97"/>
      <c r="J102" s="9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ht="13.5" thickBot="1" x14ac:dyDescent="0.25">
      <c r="A103"/>
      <c r="B103"/>
      <c r="C103"/>
      <c r="D103" s="72" t="s">
        <v>25</v>
      </c>
      <c r="E103" s="73">
        <f>E95</f>
        <v>1</v>
      </c>
      <c r="F103" s="74">
        <f>E102*E103</f>
        <v>567.57399999999996</v>
      </c>
      <c r="G103"/>
      <c r="H103"/>
      <c r="I103" s="97"/>
      <c r="J103" s="9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5" x14ac:dyDescent="0.2">
      <c r="A104"/>
      <c r="B104"/>
      <c r="C104"/>
      <c r="D104" s="72"/>
      <c r="F104" s="263"/>
      <c r="G104"/>
      <c r="H104"/>
      <c r="I104" s="97"/>
      <c r="J104" s="9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 s="65"/>
    </row>
    <row r="105" spans="1:1025" x14ac:dyDescent="0.2">
      <c r="A105"/>
      <c r="B105"/>
      <c r="C105"/>
      <c r="D105" s="72"/>
      <c r="F105" s="263"/>
      <c r="G105"/>
      <c r="H105"/>
      <c r="I105" s="97"/>
      <c r="J105" s="9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 s="65"/>
    </row>
    <row r="106" spans="1:1025" x14ac:dyDescent="0.2">
      <c r="A106" s="1" t="s">
        <v>46</v>
      </c>
      <c r="B106" s="107"/>
      <c r="C106"/>
      <c r="D106"/>
      <c r="E106"/>
      <c r="F106"/>
      <c r="G106"/>
      <c r="H106"/>
      <c r="I106" s="97"/>
      <c r="J106" s="9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5" ht="25.5" x14ac:dyDescent="0.2">
      <c r="A107" s="108" t="s">
        <v>47</v>
      </c>
      <c r="B107" s="270">
        <f>74*20</f>
        <v>1480</v>
      </c>
      <c r="C107"/>
      <c r="D107"/>
      <c r="E107"/>
      <c r="F107"/>
      <c r="G107"/>
      <c r="H107"/>
      <c r="I107" s="97"/>
      <c r="J107" s="9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5" x14ac:dyDescent="0.2">
      <c r="A108"/>
      <c r="B108" s="107"/>
      <c r="C108"/>
      <c r="D108"/>
      <c r="E108"/>
      <c r="F108"/>
      <c r="G108"/>
      <c r="H108"/>
      <c r="I108" s="97"/>
      <c r="J108" s="9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5" x14ac:dyDescent="0.2">
      <c r="A109" s="54" t="s">
        <v>10</v>
      </c>
      <c r="B109" s="55" t="s">
        <v>11</v>
      </c>
      <c r="C109" s="55" t="s">
        <v>48</v>
      </c>
      <c r="D109" s="56" t="s">
        <v>26</v>
      </c>
      <c r="E109" s="56" t="s">
        <v>12</v>
      </c>
      <c r="F109" s="57" t="s">
        <v>13</v>
      </c>
      <c r="G109"/>
      <c r="H109"/>
      <c r="I109" s="97"/>
      <c r="J109" s="97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5" x14ac:dyDescent="0.2">
      <c r="A110" s="58" t="s">
        <v>49</v>
      </c>
      <c r="B110" s="59" t="s">
        <v>50</v>
      </c>
      <c r="C110" s="109">
        <v>3</v>
      </c>
      <c r="D110" s="242">
        <v>6.2</v>
      </c>
      <c r="E110" s="60"/>
      <c r="F110"/>
      <c r="H110" s="65"/>
      <c r="I110" s="97"/>
      <c r="J110" s="9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5" x14ac:dyDescent="0.2">
      <c r="A111" s="61" t="s">
        <v>51</v>
      </c>
      <c r="B111" s="62" t="s">
        <v>52</v>
      </c>
      <c r="C111" s="78">
        <f>B107</f>
        <v>1480</v>
      </c>
      <c r="D111" s="110">
        <f>IFERROR(+D110/C110,"-")</f>
        <v>2.0666666666666669</v>
      </c>
      <c r="E111" s="64">
        <f>IFERROR(C111*D111,"-")</f>
        <v>3058.666666666667</v>
      </c>
      <c r="F111"/>
      <c r="H111" s="65"/>
      <c r="I111" s="97"/>
      <c r="J111" s="9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5" x14ac:dyDescent="0.2">
      <c r="A112" s="61" t="s">
        <v>53</v>
      </c>
      <c r="B112" s="62" t="s">
        <v>54</v>
      </c>
      <c r="C112" s="111">
        <v>2</v>
      </c>
      <c r="D112" s="64">
        <v>23.45</v>
      </c>
      <c r="E112" s="64"/>
      <c r="F112"/>
      <c r="H112" s="65"/>
      <c r="I112" s="97"/>
      <c r="J112" s="9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3.5" thickBot="1" x14ac:dyDescent="0.25">
      <c r="A113" s="61" t="s">
        <v>55</v>
      </c>
      <c r="B113" s="62" t="s">
        <v>52</v>
      </c>
      <c r="C113" s="78">
        <f>C111</f>
        <v>1480</v>
      </c>
      <c r="D113" s="112">
        <f>+C112*D112/1000</f>
        <v>4.6899999999999997E-2</v>
      </c>
      <c r="E113" s="64">
        <f>C113*D113</f>
        <v>69.411999999999992</v>
      </c>
      <c r="F113"/>
      <c r="H113" s="65"/>
      <c r="I113" s="97"/>
      <c r="J113" s="9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3.5" thickBot="1" x14ac:dyDescent="0.25">
      <c r="A114"/>
      <c r="B114"/>
      <c r="C114"/>
      <c r="D114"/>
      <c r="E114"/>
      <c r="F114" s="94">
        <f>SUM(E110:E113)</f>
        <v>3128.0786666666668</v>
      </c>
      <c r="G114"/>
      <c r="H114"/>
      <c r="I114" s="97"/>
      <c r="J114" s="9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">
      <c r="A115"/>
      <c r="B115"/>
      <c r="C115"/>
      <c r="D115"/>
      <c r="E115"/>
      <c r="F115"/>
      <c r="G115"/>
      <c r="H115"/>
      <c r="I115" s="97"/>
      <c r="J115" s="9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">
      <c r="A116" s="1" t="s">
        <v>57</v>
      </c>
      <c r="B116"/>
      <c r="C116"/>
      <c r="D116"/>
      <c r="E116"/>
      <c r="F116"/>
      <c r="G116"/>
      <c r="H116"/>
      <c r="I116" s="97"/>
      <c r="J116" s="9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">
      <c r="A117" s="54" t="s">
        <v>10</v>
      </c>
      <c r="B117" s="55" t="s">
        <v>11</v>
      </c>
      <c r="C117" s="55" t="s">
        <v>7</v>
      </c>
      <c r="D117" s="56" t="s">
        <v>26</v>
      </c>
      <c r="E117" s="56" t="s">
        <v>12</v>
      </c>
      <c r="F117" s="57" t="s">
        <v>13</v>
      </c>
      <c r="G117"/>
      <c r="H117"/>
      <c r="I117" s="97"/>
      <c r="J117" s="9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1.25" customHeight="1" x14ac:dyDescent="0.2">
      <c r="A118" s="249" t="s">
        <v>205</v>
      </c>
      <c r="B118" s="59" t="s">
        <v>56</v>
      </c>
      <c r="C118" s="78">
        <f>C111</f>
        <v>1480</v>
      </c>
      <c r="D118" s="60">
        <v>0.6</v>
      </c>
      <c r="E118" s="60">
        <f>C118*D118</f>
        <v>888</v>
      </c>
      <c r="F118"/>
      <c r="G118"/>
      <c r="H118"/>
      <c r="I118" s="97"/>
      <c r="J118" s="9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">
      <c r="A119"/>
      <c r="B119"/>
      <c r="C119"/>
      <c r="D119"/>
      <c r="E119"/>
      <c r="F119" s="94">
        <f>E118</f>
        <v>888</v>
      </c>
      <c r="G119"/>
      <c r="H119"/>
      <c r="I119" s="97"/>
      <c r="J119" s="9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">
      <c r="A120"/>
      <c r="B120"/>
      <c r="C120"/>
      <c r="D120"/>
      <c r="E120"/>
      <c r="F120"/>
      <c r="G120"/>
      <c r="H120"/>
      <c r="I120" s="97"/>
      <c r="J120" s="9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3.5" thickBot="1" x14ac:dyDescent="0.25">
      <c r="A121" s="1" t="s">
        <v>58</v>
      </c>
      <c r="B121"/>
      <c r="C121"/>
      <c r="D121"/>
      <c r="E121"/>
      <c r="F121"/>
      <c r="G121"/>
      <c r="H121"/>
      <c r="I121" s="97"/>
      <c r="J121" s="9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">
      <c r="A122" s="54" t="s">
        <v>10</v>
      </c>
      <c r="B122" s="55" t="s">
        <v>11</v>
      </c>
      <c r="C122" s="55" t="s">
        <v>7</v>
      </c>
      <c r="D122" s="56" t="s">
        <v>26</v>
      </c>
      <c r="E122" s="56" t="s">
        <v>12</v>
      </c>
      <c r="F122" s="57" t="s">
        <v>13</v>
      </c>
      <c r="G122"/>
      <c r="H122"/>
      <c r="I122" s="97"/>
      <c r="J122" s="9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">
      <c r="A123" s="273" t="s">
        <v>231</v>
      </c>
      <c r="B123" s="59" t="s">
        <v>27</v>
      </c>
      <c r="C123" s="271">
        <v>6</v>
      </c>
      <c r="D123" s="269">
        <v>2002.66</v>
      </c>
      <c r="E123" s="60">
        <f>C123*D123</f>
        <v>12015.960000000001</v>
      </c>
      <c r="G123"/>
      <c r="H123"/>
      <c r="I123" s="97"/>
      <c r="J123" s="9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">
      <c r="A124" s="58" t="s">
        <v>59</v>
      </c>
      <c r="B124" s="59" t="s">
        <v>27</v>
      </c>
      <c r="C124" s="271">
        <v>0</v>
      </c>
      <c r="D124" s="60"/>
      <c r="E124" s="60"/>
      <c r="F124"/>
      <c r="G124"/>
      <c r="H124"/>
      <c r="I124" s="97"/>
      <c r="J124" s="9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">
      <c r="A125" s="58" t="s">
        <v>60</v>
      </c>
      <c r="B125" s="59" t="s">
        <v>27</v>
      </c>
      <c r="C125" s="60">
        <f>C123*C124</f>
        <v>0</v>
      </c>
      <c r="D125" s="269">
        <v>0</v>
      </c>
      <c r="E125" s="60">
        <f>C125*D125</f>
        <v>0</v>
      </c>
      <c r="F125"/>
      <c r="G125"/>
      <c r="H125"/>
      <c r="I125" s="97"/>
      <c r="J125" s="9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">
      <c r="A126" s="58" t="s">
        <v>61</v>
      </c>
      <c r="B126" s="59" t="s">
        <v>27</v>
      </c>
      <c r="C126" s="60">
        <v>0</v>
      </c>
      <c r="D126" s="60">
        <v>0</v>
      </c>
      <c r="E126" s="60">
        <f>C126*D126</f>
        <v>0</v>
      </c>
      <c r="F126"/>
      <c r="G126"/>
      <c r="H126"/>
      <c r="I126" s="97"/>
      <c r="J126" s="9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">
      <c r="A127" s="61" t="s">
        <v>62</v>
      </c>
      <c r="B127" s="62" t="s">
        <v>63</v>
      </c>
      <c r="C127" s="113">
        <v>15000</v>
      </c>
      <c r="D127" s="64">
        <f>E123+E125+E126</f>
        <v>12015.960000000001</v>
      </c>
      <c r="E127" s="64">
        <f>IFERROR(D127/C127,"-")</f>
        <v>0.80106400000000011</v>
      </c>
      <c r="F127"/>
      <c r="G127"/>
      <c r="H127"/>
      <c r="I127" s="97"/>
      <c r="J127" s="9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1.25" customHeight="1" x14ac:dyDescent="0.2">
      <c r="A128" s="61" t="s">
        <v>64</v>
      </c>
      <c r="B128" s="62" t="s">
        <v>52</v>
      </c>
      <c r="C128" s="78">
        <f>B107</f>
        <v>1480</v>
      </c>
      <c r="D128" s="64">
        <f>E127</f>
        <v>0.80106400000000011</v>
      </c>
      <c r="E128" s="64">
        <f>IFERROR(C128*D128,0)</f>
        <v>1185.5747200000001</v>
      </c>
      <c r="F128"/>
      <c r="G128"/>
      <c r="H128"/>
      <c r="I128" s="97"/>
      <c r="J128" s="9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1.25" customHeight="1" x14ac:dyDescent="0.2">
      <c r="A129"/>
      <c r="B129"/>
      <c r="C129"/>
      <c r="D129"/>
      <c r="E129"/>
      <c r="F129" s="94">
        <f>E128</f>
        <v>1185.5747200000001</v>
      </c>
      <c r="G129" s="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">
      <c r="A130"/>
      <c r="B130"/>
      <c r="C130"/>
      <c r="D130"/>
      <c r="E130"/>
      <c r="F130"/>
      <c r="G130" s="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1.25" customHeight="1" x14ac:dyDescent="0.2">
      <c r="A131"/>
      <c r="B131"/>
      <c r="C131"/>
      <c r="D131"/>
      <c r="E131"/>
      <c r="F131"/>
      <c r="G131" s="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">
      <c r="A132" s="83" t="s">
        <v>202</v>
      </c>
      <c r="B132" s="84"/>
      <c r="C132" s="84"/>
      <c r="D132" s="34"/>
      <c r="E132" s="85"/>
      <c r="F132" s="94">
        <f>+SUM(F77:F131)</f>
        <v>7430.9684875583334</v>
      </c>
      <c r="G132" s="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1.25" customHeight="1" x14ac:dyDescent="0.2">
      <c r="A133"/>
      <c r="B133"/>
      <c r="C133"/>
      <c r="D133"/>
      <c r="E133"/>
      <c r="F133"/>
      <c r="G133" s="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1.25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3.5" thickBot="1" x14ac:dyDescent="0.25">
      <c r="A135" s="252" t="s">
        <v>203</v>
      </c>
      <c r="B135" s="114"/>
      <c r="C135" s="114"/>
      <c r="D135" s="20"/>
      <c r="E135" s="20"/>
      <c r="F135" s="6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5" thickBot="1" x14ac:dyDescent="0.25">
      <c r="A136" s="54" t="s">
        <v>10</v>
      </c>
      <c r="B136" s="55" t="s">
        <v>11</v>
      </c>
      <c r="C136" s="55" t="s">
        <v>7</v>
      </c>
      <c r="D136" s="56" t="s">
        <v>26</v>
      </c>
      <c r="E136" s="56" t="s">
        <v>12</v>
      </c>
      <c r="F136" s="57" t="s">
        <v>13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">
      <c r="A137" s="61" t="s">
        <v>66</v>
      </c>
      <c r="B137" s="115" t="s">
        <v>65</v>
      </c>
      <c r="C137" s="90">
        <v>0</v>
      </c>
      <c r="D137" s="64">
        <v>0</v>
      </c>
      <c r="E137" s="64">
        <f>+D137*C137</f>
        <v>0</v>
      </c>
      <c r="F137" s="9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">
      <c r="A138" s="61" t="s">
        <v>67</v>
      </c>
      <c r="B138" s="115" t="s">
        <v>14</v>
      </c>
      <c r="C138" s="116">
        <v>0</v>
      </c>
      <c r="D138" s="117">
        <v>0</v>
      </c>
      <c r="E138" s="117"/>
      <c r="F138" s="9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">
      <c r="A139" s="61" t="s">
        <v>68</v>
      </c>
      <c r="B139" s="62" t="s">
        <v>27</v>
      </c>
      <c r="C139" s="90">
        <f>+C137</f>
        <v>0</v>
      </c>
      <c r="D139" s="64">
        <v>0</v>
      </c>
      <c r="E139" s="64">
        <f>C139*D139</f>
        <v>0</v>
      </c>
      <c r="F139" s="9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s="119" customFormat="1" ht="11.25" customHeight="1" thickBot="1" x14ac:dyDescent="0.25">
      <c r="A140" s="61" t="s">
        <v>69</v>
      </c>
      <c r="B140" s="115" t="s">
        <v>14</v>
      </c>
      <c r="C140" s="116">
        <v>0</v>
      </c>
      <c r="D140" s="117">
        <v>0</v>
      </c>
      <c r="E140" s="117"/>
      <c r="F140" s="98"/>
      <c r="G140" s="118"/>
    </row>
    <row r="141" spans="1:1024" ht="13.5" thickBot="1" x14ac:dyDescent="0.25">
      <c r="A141" s="120"/>
      <c r="B141" s="120"/>
      <c r="C141" s="120"/>
      <c r="D141" s="72" t="s">
        <v>25</v>
      </c>
      <c r="E141" s="73">
        <v>1</v>
      </c>
      <c r="F141" s="121">
        <f>(E138+E140)*E141</f>
        <v>0</v>
      </c>
      <c r="G141"/>
    </row>
    <row r="142" spans="1:1024" ht="11.25" customHeight="1" thickBot="1" x14ac:dyDescent="0.25">
      <c r="A142"/>
      <c r="B142"/>
      <c r="C142"/>
      <c r="D142"/>
      <c r="E142"/>
      <c r="F142"/>
      <c r="G142"/>
    </row>
    <row r="143" spans="1:1024" ht="17.25" customHeight="1" thickBot="1" x14ac:dyDescent="0.25">
      <c r="A143" s="83" t="s">
        <v>70</v>
      </c>
      <c r="B143" s="84"/>
      <c r="C143" s="84"/>
      <c r="D143" s="34"/>
      <c r="E143" s="85"/>
      <c r="F143" s="94">
        <f>+F141</f>
        <v>0</v>
      </c>
      <c r="G143"/>
    </row>
    <row r="144" spans="1:1024" ht="11.25" customHeight="1" thickBot="1" x14ac:dyDescent="0.25">
      <c r="A144"/>
      <c r="B144"/>
      <c r="C144"/>
      <c r="D144"/>
      <c r="E144"/>
      <c r="F144"/>
      <c r="G144"/>
    </row>
    <row r="145" spans="1:1025" x14ac:dyDescent="0.2">
      <c r="A145" s="83" t="s">
        <v>71</v>
      </c>
      <c r="B145" s="91"/>
      <c r="C145" s="91"/>
      <c r="D145" s="92"/>
      <c r="E145" s="93"/>
      <c r="F145" s="82">
        <f>F59+F69+F132+F143</f>
        <v>11847.129618798002</v>
      </c>
      <c r="G145"/>
    </row>
    <row r="146" spans="1:1025" ht="11.25" customHeight="1" x14ac:dyDescent="0.2">
      <c r="A146"/>
      <c r="B146"/>
      <c r="C146"/>
      <c r="D146"/>
      <c r="E146"/>
      <c r="F146"/>
      <c r="G146"/>
    </row>
    <row r="147" spans="1:1025" x14ac:dyDescent="0.2">
      <c r="A147" s="21" t="s">
        <v>72</v>
      </c>
      <c r="B147"/>
      <c r="C147"/>
      <c r="D147"/>
      <c r="E147"/>
      <c r="F147"/>
      <c r="G147"/>
    </row>
    <row r="148" spans="1:1025" x14ac:dyDescent="0.2">
      <c r="A148"/>
      <c r="B148"/>
      <c r="C148"/>
      <c r="D148"/>
      <c r="E148"/>
      <c r="F148"/>
      <c r="G148"/>
    </row>
    <row r="149" spans="1:1025" x14ac:dyDescent="0.2">
      <c r="A149" s="54" t="s">
        <v>10</v>
      </c>
      <c r="B149" s="55" t="s">
        <v>11</v>
      </c>
      <c r="C149" s="55" t="s">
        <v>7</v>
      </c>
      <c r="D149" s="56" t="s">
        <v>26</v>
      </c>
      <c r="E149" s="56" t="s">
        <v>12</v>
      </c>
      <c r="F149" s="57" t="s">
        <v>13</v>
      </c>
      <c r="G149"/>
    </row>
    <row r="150" spans="1:1025" ht="11.25" customHeight="1" x14ac:dyDescent="0.2">
      <c r="A150" s="58" t="s">
        <v>73</v>
      </c>
      <c r="B150" s="59" t="s">
        <v>4</v>
      </c>
      <c r="C150" s="268">
        <f>36.53</f>
        <v>36.53</v>
      </c>
      <c r="D150" s="60">
        <f>+F145</f>
        <v>11847.129618798002</v>
      </c>
      <c r="E150" s="60">
        <f>C150*D150/100</f>
        <v>4327.7564497469102</v>
      </c>
      <c r="F150"/>
      <c r="G150"/>
    </row>
    <row r="151" spans="1:1025" x14ac:dyDescent="0.2">
      <c r="A151"/>
      <c r="B151"/>
      <c r="C151"/>
      <c r="D151"/>
      <c r="E151"/>
      <c r="F151" s="94">
        <f>+E150</f>
        <v>4327.7564497469102</v>
      </c>
      <c r="G151"/>
    </row>
    <row r="152" spans="1:1025" x14ac:dyDescent="0.2">
      <c r="A152"/>
      <c r="B152"/>
      <c r="C152"/>
      <c r="D152"/>
      <c r="E152"/>
      <c r="F152"/>
      <c r="G152"/>
    </row>
    <row r="153" spans="1:1025" ht="11.25" customHeight="1" x14ac:dyDescent="0.2">
      <c r="A153" s="83" t="s">
        <v>74</v>
      </c>
      <c r="B153" s="91"/>
      <c r="C153" s="91"/>
      <c r="D153" s="92"/>
      <c r="E153" s="93"/>
      <c r="F153" s="82">
        <f>F151</f>
        <v>4327.7564497469102</v>
      </c>
      <c r="G153"/>
    </row>
    <row r="154" spans="1:1025" x14ac:dyDescent="0.2">
      <c r="A154" s="114"/>
      <c r="B154" s="114"/>
      <c r="C154" s="114"/>
      <c r="D154" s="20"/>
      <c r="E154" s="20"/>
      <c r="F154" s="69"/>
      <c r="G154"/>
    </row>
    <row r="155" spans="1:1025" ht="12.6" customHeight="1" x14ac:dyDescent="0.2">
      <c r="A155"/>
      <c r="B155"/>
      <c r="C155"/>
      <c r="D155"/>
      <c r="E155"/>
      <c r="F155"/>
      <c r="G155"/>
    </row>
    <row r="156" spans="1:1025" x14ac:dyDescent="0.2">
      <c r="A156" s="83" t="s">
        <v>75</v>
      </c>
      <c r="B156" s="91"/>
      <c r="C156" s="91"/>
      <c r="D156" s="92"/>
      <c r="E156" s="93"/>
      <c r="F156" s="82">
        <f>F145+F153</f>
        <v>16174.886068544913</v>
      </c>
      <c r="G156"/>
    </row>
    <row r="157" spans="1:1025" ht="16.149999999999999" customHeight="1" x14ac:dyDescent="0.2">
      <c r="A157" s="122"/>
      <c r="B157" s="122"/>
      <c r="C157" s="122"/>
      <c r="D157" s="123"/>
      <c r="E157" s="123"/>
      <c r="F157" s="123"/>
      <c r="G157"/>
    </row>
    <row r="158" spans="1:1025" ht="16.149999999999999" customHeight="1" x14ac:dyDescent="0.2">
      <c r="A158" s="122"/>
      <c r="B158" s="122"/>
      <c r="C158" s="122"/>
      <c r="D158" s="123"/>
      <c r="E158" s="123"/>
      <c r="F158" s="123"/>
      <c r="G158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  <c r="IW158" s="65"/>
      <c r="IX158" s="65"/>
      <c r="IY158" s="65"/>
      <c r="IZ158" s="65"/>
      <c r="JA158" s="65"/>
      <c r="JB158" s="65"/>
      <c r="JC158" s="65"/>
      <c r="JD158" s="65"/>
      <c r="JE158" s="65"/>
      <c r="JF158" s="65"/>
      <c r="JG158" s="65"/>
      <c r="JH158" s="65"/>
      <c r="JI158" s="65"/>
      <c r="JJ158" s="65"/>
      <c r="JK158" s="65"/>
      <c r="JL158" s="65"/>
      <c r="JM158" s="65"/>
      <c r="JN158" s="65"/>
      <c r="JO158" s="65"/>
      <c r="JP158" s="65"/>
      <c r="JQ158" s="65"/>
      <c r="JR158" s="65"/>
      <c r="JS158" s="65"/>
      <c r="JT158" s="65"/>
      <c r="JU158" s="65"/>
      <c r="JV158" s="65"/>
      <c r="JW158" s="65"/>
      <c r="JX158" s="65"/>
      <c r="JY158" s="65"/>
      <c r="JZ158" s="65"/>
      <c r="KA158" s="65"/>
      <c r="KB158" s="65"/>
      <c r="KC158" s="65"/>
      <c r="KD158" s="65"/>
      <c r="KE158" s="65"/>
      <c r="KF158" s="65"/>
      <c r="KG158" s="65"/>
      <c r="KH158" s="65"/>
      <c r="KI158" s="65"/>
      <c r="KJ158" s="65"/>
      <c r="KK158" s="65"/>
      <c r="KL158" s="65"/>
      <c r="KM158" s="65"/>
      <c r="KN158" s="65"/>
      <c r="KO158" s="65"/>
      <c r="KP158" s="65"/>
      <c r="KQ158" s="65"/>
      <c r="KR158" s="65"/>
      <c r="KS158" s="65"/>
      <c r="KT158" s="65"/>
      <c r="KU158" s="65"/>
      <c r="KV158" s="65"/>
      <c r="KW158" s="65"/>
      <c r="KX158" s="65"/>
      <c r="KY158" s="65"/>
      <c r="KZ158" s="65"/>
      <c r="LA158" s="65"/>
      <c r="LB158" s="65"/>
      <c r="LC158" s="65"/>
      <c r="LD158" s="65"/>
      <c r="LE158" s="65"/>
      <c r="LF158" s="65"/>
      <c r="LG158" s="65"/>
      <c r="LH158" s="65"/>
      <c r="LI158" s="65"/>
      <c r="LJ158" s="65"/>
      <c r="LK158" s="65"/>
      <c r="LL158" s="65"/>
      <c r="LM158" s="65"/>
      <c r="LN158" s="65"/>
      <c r="LO158" s="65"/>
      <c r="LP158" s="65"/>
      <c r="LQ158" s="65"/>
      <c r="LR158" s="65"/>
      <c r="LS158" s="65"/>
      <c r="LT158" s="65"/>
      <c r="LU158" s="65"/>
      <c r="LV158" s="65"/>
      <c r="LW158" s="65"/>
      <c r="LX158" s="65"/>
      <c r="LY158" s="65"/>
      <c r="LZ158" s="65"/>
      <c r="MA158" s="65"/>
      <c r="MB158" s="65"/>
      <c r="MC158" s="65"/>
      <c r="MD158" s="65"/>
      <c r="ME158" s="65"/>
      <c r="MF158" s="65"/>
      <c r="MG158" s="65"/>
      <c r="MH158" s="65"/>
      <c r="MI158" s="65"/>
      <c r="MJ158" s="65"/>
      <c r="MK158" s="65"/>
      <c r="ML158" s="65"/>
      <c r="MM158" s="65"/>
      <c r="MN158" s="65"/>
      <c r="MO158" s="65"/>
      <c r="MP158" s="65"/>
      <c r="MQ158" s="65"/>
      <c r="MR158" s="65"/>
      <c r="MS158" s="65"/>
      <c r="MT158" s="65"/>
      <c r="MU158" s="65"/>
      <c r="MV158" s="65"/>
      <c r="MW158" s="65"/>
      <c r="MX158" s="65"/>
      <c r="MY158" s="65"/>
      <c r="MZ158" s="65"/>
      <c r="NA158" s="65"/>
      <c r="NB158" s="65"/>
      <c r="NC158" s="65"/>
      <c r="ND158" s="65"/>
      <c r="NE158" s="65"/>
      <c r="NF158" s="65"/>
      <c r="NG158" s="65"/>
      <c r="NH158" s="65"/>
      <c r="NI158" s="65"/>
      <c r="NJ158" s="65"/>
      <c r="NK158" s="65"/>
      <c r="NL158" s="65"/>
      <c r="NM158" s="65"/>
      <c r="NN158" s="65"/>
      <c r="NO158" s="65"/>
      <c r="NP158" s="65"/>
      <c r="NQ158" s="65"/>
      <c r="NR158" s="65"/>
      <c r="NS158" s="65"/>
      <c r="NT158" s="65"/>
      <c r="NU158" s="65"/>
      <c r="NV158" s="65"/>
      <c r="NW158" s="65"/>
      <c r="NX158" s="65"/>
      <c r="NY158" s="65"/>
      <c r="NZ158" s="65"/>
      <c r="OA158" s="65"/>
      <c r="OB158" s="65"/>
      <c r="OC158" s="65"/>
      <c r="OD158" s="65"/>
      <c r="OE158" s="65"/>
      <c r="OF158" s="65"/>
      <c r="OG158" s="65"/>
      <c r="OH158" s="65"/>
      <c r="OI158" s="65"/>
      <c r="OJ158" s="65"/>
      <c r="OK158" s="65"/>
      <c r="OL158" s="65"/>
      <c r="OM158" s="65"/>
      <c r="ON158" s="65"/>
      <c r="OO158" s="65"/>
      <c r="OP158" s="65"/>
      <c r="OQ158" s="65"/>
      <c r="OR158" s="65"/>
      <c r="OS158" s="65"/>
      <c r="OT158" s="65"/>
      <c r="OU158" s="65"/>
      <c r="OV158" s="65"/>
      <c r="OW158" s="65"/>
      <c r="OX158" s="65"/>
      <c r="OY158" s="65"/>
      <c r="OZ158" s="65"/>
      <c r="PA158" s="65"/>
      <c r="PB158" s="65"/>
      <c r="PC158" s="65"/>
      <c r="PD158" s="65"/>
      <c r="PE158" s="65"/>
      <c r="PF158" s="65"/>
      <c r="PG158" s="65"/>
      <c r="PH158" s="65"/>
      <c r="PI158" s="65"/>
      <c r="PJ158" s="65"/>
      <c r="PK158" s="65"/>
      <c r="PL158" s="65"/>
      <c r="PM158" s="65"/>
      <c r="PN158" s="65"/>
      <c r="PO158" s="65"/>
      <c r="PP158" s="65"/>
      <c r="PQ158" s="65"/>
      <c r="PR158" s="65"/>
      <c r="PS158" s="65"/>
      <c r="PT158" s="65"/>
      <c r="PU158" s="65"/>
      <c r="PV158" s="65"/>
      <c r="PW158" s="65"/>
      <c r="PX158" s="65"/>
      <c r="PY158" s="65"/>
      <c r="PZ158" s="65"/>
      <c r="QA158" s="65"/>
      <c r="QB158" s="65"/>
      <c r="QC158" s="65"/>
      <c r="QD158" s="65"/>
      <c r="QE158" s="65"/>
      <c r="QF158" s="65"/>
      <c r="QG158" s="65"/>
      <c r="QH158" s="65"/>
      <c r="QI158" s="65"/>
      <c r="QJ158" s="65"/>
      <c r="QK158" s="65"/>
      <c r="QL158" s="65"/>
      <c r="QM158" s="65"/>
      <c r="QN158" s="65"/>
      <c r="QO158" s="65"/>
      <c r="QP158" s="65"/>
      <c r="QQ158" s="65"/>
      <c r="QR158" s="65"/>
      <c r="QS158" s="65"/>
      <c r="QT158" s="65"/>
      <c r="QU158" s="65"/>
      <c r="QV158" s="65"/>
      <c r="QW158" s="65"/>
      <c r="QX158" s="65"/>
      <c r="QY158" s="65"/>
      <c r="QZ158" s="65"/>
      <c r="RA158" s="65"/>
      <c r="RB158" s="65"/>
      <c r="RC158" s="65"/>
      <c r="RD158" s="65"/>
      <c r="RE158" s="65"/>
      <c r="RF158" s="65"/>
      <c r="RG158" s="65"/>
      <c r="RH158" s="65"/>
      <c r="RI158" s="65"/>
      <c r="RJ158" s="65"/>
      <c r="RK158" s="65"/>
      <c r="RL158" s="65"/>
      <c r="RM158" s="65"/>
      <c r="RN158" s="65"/>
      <c r="RO158" s="65"/>
      <c r="RP158" s="65"/>
      <c r="RQ158" s="65"/>
      <c r="RR158" s="65"/>
      <c r="RS158" s="65"/>
      <c r="RT158" s="65"/>
      <c r="RU158" s="65"/>
      <c r="RV158" s="65"/>
      <c r="RW158" s="65"/>
      <c r="RX158" s="65"/>
      <c r="RY158" s="65"/>
      <c r="RZ158" s="65"/>
      <c r="SA158" s="65"/>
      <c r="SB158" s="65"/>
      <c r="SC158" s="65"/>
      <c r="SD158" s="65"/>
      <c r="SE158" s="65"/>
      <c r="SF158" s="65"/>
      <c r="SG158" s="65"/>
      <c r="SH158" s="65"/>
      <c r="SI158" s="65"/>
      <c r="SJ158" s="65"/>
      <c r="SK158" s="65"/>
      <c r="SL158" s="65"/>
      <c r="SM158" s="65"/>
      <c r="SN158" s="65"/>
      <c r="SO158" s="65"/>
      <c r="SP158" s="65"/>
      <c r="SQ158" s="65"/>
      <c r="SR158" s="65"/>
      <c r="SS158" s="65"/>
      <c r="ST158" s="65"/>
      <c r="SU158" s="65"/>
      <c r="SV158" s="65"/>
      <c r="SW158" s="65"/>
      <c r="SX158" s="65"/>
      <c r="SY158" s="65"/>
      <c r="SZ158" s="65"/>
      <c r="TA158" s="65"/>
      <c r="TB158" s="65"/>
      <c r="TC158" s="65"/>
      <c r="TD158" s="65"/>
      <c r="TE158" s="65"/>
      <c r="TF158" s="65"/>
      <c r="TG158" s="65"/>
      <c r="TH158" s="65"/>
      <c r="TI158" s="65"/>
      <c r="TJ158" s="65"/>
      <c r="TK158" s="65"/>
      <c r="TL158" s="65"/>
      <c r="TM158" s="65"/>
      <c r="TN158" s="65"/>
      <c r="TO158" s="65"/>
      <c r="TP158" s="65"/>
      <c r="TQ158" s="65"/>
      <c r="TR158" s="65"/>
      <c r="TS158" s="65"/>
      <c r="TT158" s="65"/>
      <c r="TU158" s="65"/>
      <c r="TV158" s="65"/>
      <c r="TW158" s="65"/>
      <c r="TX158" s="65"/>
      <c r="TY158" s="65"/>
      <c r="TZ158" s="65"/>
      <c r="UA158" s="65"/>
      <c r="UB158" s="65"/>
      <c r="UC158" s="65"/>
      <c r="UD158" s="65"/>
      <c r="UE158" s="65"/>
      <c r="UF158" s="65"/>
      <c r="UG158" s="65"/>
      <c r="UH158" s="65"/>
      <c r="UI158" s="65"/>
      <c r="UJ158" s="65"/>
      <c r="UK158" s="65"/>
      <c r="UL158" s="65"/>
      <c r="UM158" s="65"/>
      <c r="UN158" s="65"/>
      <c r="UO158" s="65"/>
      <c r="UP158" s="65"/>
      <c r="UQ158" s="65"/>
      <c r="UR158" s="65"/>
      <c r="US158" s="65"/>
      <c r="UT158" s="65"/>
      <c r="UU158" s="65"/>
      <c r="UV158" s="65"/>
      <c r="UW158" s="65"/>
      <c r="UX158" s="65"/>
      <c r="UY158" s="65"/>
      <c r="UZ158" s="65"/>
      <c r="VA158" s="65"/>
      <c r="VB158" s="65"/>
      <c r="VC158" s="65"/>
      <c r="VD158" s="65"/>
      <c r="VE158" s="65"/>
      <c r="VF158" s="65"/>
      <c r="VG158" s="65"/>
      <c r="VH158" s="65"/>
      <c r="VI158" s="65"/>
      <c r="VJ158" s="65"/>
      <c r="VK158" s="65"/>
      <c r="VL158" s="65"/>
      <c r="VM158" s="65"/>
      <c r="VN158" s="65"/>
      <c r="VO158" s="65"/>
      <c r="VP158" s="65"/>
      <c r="VQ158" s="65"/>
      <c r="VR158" s="65"/>
      <c r="VS158" s="65"/>
      <c r="VT158" s="65"/>
      <c r="VU158" s="65"/>
      <c r="VV158" s="65"/>
      <c r="VW158" s="65"/>
      <c r="VX158" s="65"/>
      <c r="VY158" s="65"/>
      <c r="VZ158" s="65"/>
      <c r="WA158" s="65"/>
      <c r="WB158" s="65"/>
      <c r="WC158" s="65"/>
      <c r="WD158" s="65"/>
      <c r="WE158" s="65"/>
      <c r="WF158" s="65"/>
      <c r="WG158" s="65"/>
      <c r="WH158" s="65"/>
      <c r="WI158" s="65"/>
      <c r="WJ158" s="65"/>
      <c r="WK158" s="65"/>
      <c r="WL158" s="65"/>
      <c r="WM158" s="65"/>
      <c r="WN158" s="65"/>
      <c r="WO158" s="65"/>
      <c r="WP158" s="65"/>
      <c r="WQ158" s="65"/>
      <c r="WR158" s="65"/>
      <c r="WS158" s="65"/>
      <c r="WT158" s="65"/>
      <c r="WU158" s="65"/>
      <c r="WV158" s="65"/>
      <c r="WW158" s="65"/>
      <c r="WX158" s="65"/>
      <c r="WY158" s="65"/>
      <c r="WZ158" s="65"/>
      <c r="XA158" s="65"/>
      <c r="XB158" s="65"/>
      <c r="XC158" s="65"/>
      <c r="XD158" s="65"/>
      <c r="XE158" s="65"/>
      <c r="XF158" s="65"/>
      <c r="XG158" s="65"/>
      <c r="XH158" s="65"/>
      <c r="XI158" s="65"/>
      <c r="XJ158" s="65"/>
      <c r="XK158" s="65"/>
      <c r="XL158" s="65"/>
      <c r="XM158" s="65"/>
      <c r="XN158" s="65"/>
      <c r="XO158" s="65"/>
      <c r="XP158" s="65"/>
      <c r="XQ158" s="65"/>
      <c r="XR158" s="65"/>
      <c r="XS158" s="65"/>
      <c r="XT158" s="65"/>
      <c r="XU158" s="65"/>
      <c r="XV158" s="65"/>
      <c r="XW158" s="65"/>
      <c r="XX158" s="65"/>
      <c r="XY158" s="65"/>
      <c r="XZ158" s="65"/>
      <c r="YA158" s="65"/>
      <c r="YB158" s="65"/>
      <c r="YC158" s="65"/>
      <c r="YD158" s="65"/>
      <c r="YE158" s="65"/>
      <c r="YF158" s="65"/>
      <c r="YG158" s="65"/>
      <c r="YH158" s="65"/>
      <c r="YI158" s="65"/>
      <c r="YJ158" s="65"/>
      <c r="YK158" s="65"/>
      <c r="YL158" s="65"/>
      <c r="YM158" s="65"/>
      <c r="YN158" s="65"/>
      <c r="YO158" s="65"/>
      <c r="YP158" s="65"/>
      <c r="YQ158" s="65"/>
      <c r="YR158" s="65"/>
      <c r="YS158" s="65"/>
      <c r="YT158" s="65"/>
      <c r="YU158" s="65"/>
      <c r="YV158" s="65"/>
      <c r="YW158" s="65"/>
      <c r="YX158" s="65"/>
      <c r="YY158" s="65"/>
      <c r="YZ158" s="65"/>
      <c r="ZA158" s="65"/>
      <c r="ZB158" s="65"/>
      <c r="ZC158" s="65"/>
      <c r="ZD158" s="65"/>
      <c r="ZE158" s="65"/>
      <c r="ZF158" s="65"/>
      <c r="ZG158" s="65"/>
      <c r="ZH158" s="65"/>
      <c r="ZI158" s="65"/>
      <c r="ZJ158" s="65"/>
      <c r="ZK158" s="65"/>
      <c r="ZL158" s="65"/>
      <c r="ZM158" s="65"/>
      <c r="ZN158" s="65"/>
      <c r="ZO158" s="65"/>
      <c r="ZP158" s="65"/>
      <c r="ZQ158" s="65"/>
      <c r="ZR158" s="65"/>
      <c r="ZS158" s="65"/>
      <c r="ZT158" s="65"/>
      <c r="ZU158" s="65"/>
      <c r="ZV158" s="65"/>
      <c r="ZW158" s="65"/>
      <c r="ZX158" s="65"/>
      <c r="ZY158" s="65"/>
      <c r="ZZ158" s="65"/>
      <c r="AAA158" s="65"/>
      <c r="AAB158" s="65"/>
      <c r="AAC158" s="65"/>
      <c r="AAD158" s="65"/>
      <c r="AAE158" s="65"/>
      <c r="AAF158" s="65"/>
      <c r="AAG158" s="65"/>
      <c r="AAH158" s="65"/>
      <c r="AAI158" s="65"/>
      <c r="AAJ158" s="65"/>
      <c r="AAK158" s="65"/>
      <c r="AAL158" s="65"/>
      <c r="AAM158" s="65"/>
      <c r="AAN158" s="65"/>
      <c r="AAO158" s="65"/>
      <c r="AAP158" s="65"/>
      <c r="AAQ158" s="65"/>
      <c r="AAR158" s="65"/>
      <c r="AAS158" s="65"/>
      <c r="AAT158" s="65"/>
      <c r="AAU158" s="65"/>
      <c r="AAV158" s="65"/>
      <c r="AAW158" s="65"/>
      <c r="AAX158" s="65"/>
      <c r="AAY158" s="65"/>
      <c r="AAZ158" s="65"/>
      <c r="ABA158" s="65"/>
      <c r="ABB158" s="65"/>
      <c r="ABC158" s="65"/>
      <c r="ABD158" s="65"/>
      <c r="ABE158" s="65"/>
      <c r="ABF158" s="65"/>
      <c r="ABG158" s="65"/>
      <c r="ABH158" s="65"/>
      <c r="ABI158" s="65"/>
      <c r="ABJ158" s="65"/>
      <c r="ABK158" s="65"/>
      <c r="ABL158" s="65"/>
      <c r="ABM158" s="65"/>
      <c r="ABN158" s="65"/>
      <c r="ABO158" s="65"/>
      <c r="ABP158" s="65"/>
      <c r="ABQ158" s="65"/>
      <c r="ABR158" s="65"/>
      <c r="ABS158" s="65"/>
      <c r="ABT158" s="65"/>
      <c r="ABU158" s="65"/>
      <c r="ABV158" s="65"/>
      <c r="ABW158" s="65"/>
      <c r="ABX158" s="65"/>
      <c r="ABY158" s="65"/>
      <c r="ABZ158" s="65"/>
      <c r="ACA158" s="65"/>
      <c r="ACB158" s="65"/>
      <c r="ACC158" s="65"/>
      <c r="ACD158" s="65"/>
      <c r="ACE158" s="65"/>
      <c r="ACF158" s="65"/>
      <c r="ACG158" s="65"/>
      <c r="ACH158" s="65"/>
      <c r="ACI158" s="65"/>
      <c r="ACJ158" s="65"/>
      <c r="ACK158" s="65"/>
      <c r="ACL158" s="65"/>
      <c r="ACM158" s="65"/>
      <c r="ACN158" s="65"/>
      <c r="ACO158" s="65"/>
      <c r="ACP158" s="65"/>
      <c r="ACQ158" s="65"/>
      <c r="ACR158" s="65"/>
      <c r="ACS158" s="65"/>
      <c r="ACT158" s="65"/>
      <c r="ACU158" s="65"/>
      <c r="ACV158" s="65"/>
      <c r="ACW158" s="65"/>
      <c r="ACX158" s="65"/>
      <c r="ACY158" s="65"/>
      <c r="ACZ158" s="65"/>
      <c r="ADA158" s="65"/>
      <c r="ADB158" s="65"/>
      <c r="ADC158" s="65"/>
      <c r="ADD158" s="65"/>
      <c r="ADE158" s="65"/>
      <c r="ADF158" s="65"/>
      <c r="ADG158" s="65"/>
      <c r="ADH158" s="65"/>
      <c r="ADI158" s="65"/>
      <c r="ADJ158" s="65"/>
      <c r="ADK158" s="65"/>
      <c r="ADL158" s="65"/>
      <c r="ADM158" s="65"/>
      <c r="ADN158" s="65"/>
      <c r="ADO158" s="65"/>
      <c r="ADP158" s="65"/>
      <c r="ADQ158" s="65"/>
      <c r="ADR158" s="65"/>
      <c r="ADS158" s="65"/>
      <c r="ADT158" s="65"/>
      <c r="ADU158" s="65"/>
      <c r="ADV158" s="65"/>
      <c r="ADW158" s="65"/>
      <c r="ADX158" s="65"/>
      <c r="ADY158" s="65"/>
      <c r="ADZ158" s="65"/>
      <c r="AEA158" s="65"/>
      <c r="AEB158" s="65"/>
      <c r="AEC158" s="65"/>
      <c r="AED158" s="65"/>
      <c r="AEE158" s="65"/>
      <c r="AEF158" s="65"/>
      <c r="AEG158" s="65"/>
      <c r="AEH158" s="65"/>
      <c r="AEI158" s="65"/>
      <c r="AEJ158" s="65"/>
      <c r="AEK158" s="65"/>
      <c r="AEL158" s="65"/>
      <c r="AEM158" s="65"/>
      <c r="AEN158" s="65"/>
      <c r="AEO158" s="65"/>
      <c r="AEP158" s="65"/>
      <c r="AEQ158" s="65"/>
      <c r="AER158" s="65"/>
      <c r="AES158" s="65"/>
      <c r="AET158" s="65"/>
      <c r="AEU158" s="65"/>
      <c r="AEV158" s="65"/>
      <c r="AEW158" s="65"/>
      <c r="AEX158" s="65"/>
      <c r="AEY158" s="65"/>
      <c r="AEZ158" s="65"/>
      <c r="AFA158" s="65"/>
      <c r="AFB158" s="65"/>
      <c r="AFC158" s="65"/>
      <c r="AFD158" s="65"/>
      <c r="AFE158" s="65"/>
      <c r="AFF158" s="65"/>
      <c r="AFG158" s="65"/>
      <c r="AFH158" s="65"/>
      <c r="AFI158" s="65"/>
      <c r="AFJ158" s="65"/>
      <c r="AFK158" s="65"/>
      <c r="AFL158" s="65"/>
      <c r="AFM158" s="65"/>
      <c r="AFN158" s="65"/>
      <c r="AFO158" s="65"/>
      <c r="AFP158" s="65"/>
      <c r="AFQ158" s="65"/>
      <c r="AFR158" s="65"/>
      <c r="AFS158" s="65"/>
      <c r="AFT158" s="65"/>
      <c r="AFU158" s="65"/>
      <c r="AFV158" s="65"/>
      <c r="AFW158" s="65"/>
      <c r="AFX158" s="65"/>
      <c r="AFY158" s="65"/>
      <c r="AFZ158" s="65"/>
      <c r="AGA158" s="65"/>
      <c r="AGB158" s="65"/>
      <c r="AGC158" s="65"/>
      <c r="AGD158" s="65"/>
      <c r="AGE158" s="65"/>
      <c r="AGF158" s="65"/>
      <c r="AGG158" s="65"/>
      <c r="AGH158" s="65"/>
      <c r="AGI158" s="65"/>
      <c r="AGJ158" s="65"/>
      <c r="AGK158" s="65"/>
      <c r="AGL158" s="65"/>
      <c r="AGM158" s="65"/>
      <c r="AGN158" s="65"/>
      <c r="AGO158" s="65"/>
      <c r="AGP158" s="65"/>
      <c r="AGQ158" s="65"/>
      <c r="AGR158" s="65"/>
      <c r="AGS158" s="65"/>
      <c r="AGT158" s="65"/>
      <c r="AGU158" s="65"/>
      <c r="AGV158" s="65"/>
      <c r="AGW158" s="65"/>
      <c r="AGX158" s="65"/>
      <c r="AGY158" s="65"/>
      <c r="AGZ158" s="65"/>
      <c r="AHA158" s="65"/>
      <c r="AHB158" s="65"/>
      <c r="AHC158" s="65"/>
      <c r="AHD158" s="65"/>
      <c r="AHE158" s="65"/>
      <c r="AHF158" s="65"/>
      <c r="AHG158" s="65"/>
      <c r="AHH158" s="65"/>
      <c r="AHI158" s="65"/>
      <c r="AHJ158" s="65"/>
      <c r="AHK158" s="65"/>
      <c r="AHL158" s="65"/>
      <c r="AHM158" s="65"/>
      <c r="AHN158" s="65"/>
      <c r="AHO158" s="65"/>
      <c r="AHP158" s="65"/>
      <c r="AHQ158" s="65"/>
      <c r="AHR158" s="65"/>
      <c r="AHS158" s="65"/>
      <c r="AHT158" s="65"/>
      <c r="AHU158" s="65"/>
      <c r="AHV158" s="65"/>
      <c r="AHW158" s="65"/>
      <c r="AHX158" s="65"/>
      <c r="AHY158" s="65"/>
      <c r="AHZ158" s="65"/>
      <c r="AIA158" s="65"/>
      <c r="AIB158" s="65"/>
      <c r="AIC158" s="65"/>
      <c r="AID158" s="65"/>
      <c r="AIE158" s="65"/>
      <c r="AIF158" s="65"/>
      <c r="AIG158" s="65"/>
      <c r="AIH158" s="65"/>
      <c r="AII158" s="65"/>
      <c r="AIJ158" s="65"/>
      <c r="AIK158" s="65"/>
      <c r="AIL158" s="65"/>
      <c r="AIM158" s="65"/>
      <c r="AIN158" s="65"/>
      <c r="AIO158" s="65"/>
      <c r="AIP158" s="65"/>
      <c r="AIQ158" s="65"/>
      <c r="AIR158" s="65"/>
      <c r="AIS158" s="65"/>
      <c r="AIT158" s="65"/>
      <c r="AIU158" s="65"/>
      <c r="AIV158" s="65"/>
      <c r="AIW158" s="65"/>
      <c r="AIX158" s="65"/>
      <c r="AIY158" s="65"/>
      <c r="AIZ158" s="65"/>
      <c r="AJA158" s="65"/>
      <c r="AJB158" s="65"/>
      <c r="AJC158" s="65"/>
      <c r="AJD158" s="65"/>
      <c r="AJE158" s="65"/>
      <c r="AJF158" s="65"/>
      <c r="AJG158" s="65"/>
      <c r="AJH158" s="65"/>
      <c r="AJI158" s="65"/>
      <c r="AJJ158" s="65"/>
      <c r="AJK158" s="65"/>
      <c r="AJL158" s="65"/>
      <c r="AJM158" s="65"/>
      <c r="AJN158" s="65"/>
      <c r="AJO158" s="65"/>
      <c r="AJP158" s="65"/>
      <c r="AJQ158" s="65"/>
      <c r="AJR158" s="65"/>
      <c r="AJS158" s="65"/>
      <c r="AJT158" s="65"/>
      <c r="AJU158" s="65"/>
      <c r="AJV158" s="65"/>
      <c r="AJW158" s="65"/>
      <c r="AJX158" s="65"/>
      <c r="AJY158" s="65"/>
      <c r="AJZ158" s="65"/>
      <c r="AKA158" s="65"/>
      <c r="AKB158" s="65"/>
      <c r="AKC158" s="65"/>
      <c r="AKD158" s="65"/>
      <c r="AKE158" s="65"/>
      <c r="AKF158" s="65"/>
      <c r="AKG158" s="65"/>
      <c r="AKH158" s="65"/>
      <c r="AKI158" s="65"/>
      <c r="AKJ158" s="65"/>
      <c r="AKK158" s="65"/>
      <c r="AKL158" s="65"/>
      <c r="AKM158" s="65"/>
      <c r="AKN158" s="65"/>
      <c r="AKO158" s="65"/>
      <c r="AKP158" s="65"/>
      <c r="AKQ158" s="65"/>
      <c r="AKR158" s="65"/>
      <c r="AKS158" s="65"/>
      <c r="AKT158" s="65"/>
      <c r="AKU158" s="65"/>
      <c r="AKV158" s="65"/>
      <c r="AKW158" s="65"/>
      <c r="AKX158" s="65"/>
      <c r="AKY158" s="65"/>
      <c r="AKZ158" s="65"/>
      <c r="ALA158" s="65"/>
      <c r="ALB158" s="65"/>
      <c r="ALC158" s="65"/>
      <c r="ALD158" s="65"/>
      <c r="ALE158" s="65"/>
      <c r="ALF158" s="65"/>
      <c r="ALG158" s="65"/>
      <c r="ALH158" s="65"/>
      <c r="ALI158" s="65"/>
      <c r="ALJ158" s="65"/>
      <c r="ALK158" s="65"/>
      <c r="ALL158" s="65"/>
      <c r="ALM158" s="65"/>
      <c r="ALN158" s="65"/>
      <c r="ALO158" s="65"/>
      <c r="ALP158" s="65"/>
      <c r="ALQ158" s="65"/>
      <c r="ALR158" s="65"/>
      <c r="ALS158" s="65"/>
      <c r="ALT158" s="65"/>
      <c r="ALU158" s="65"/>
      <c r="ALV158" s="65"/>
      <c r="ALW158" s="65"/>
      <c r="ALX158" s="65"/>
      <c r="ALY158" s="65"/>
      <c r="ALZ158" s="65"/>
      <c r="AMA158" s="65"/>
      <c r="AMB158" s="65"/>
      <c r="AMC158" s="65"/>
      <c r="AMD158" s="65"/>
      <c r="AME158" s="65"/>
      <c r="AMF158" s="65"/>
      <c r="AMG158" s="65"/>
      <c r="AMH158" s="65"/>
      <c r="AMI158" s="65"/>
      <c r="AMJ158" s="65"/>
      <c r="AMK158" s="65"/>
    </row>
    <row r="159" spans="1:1025" ht="16.149999999999999" customHeight="1" x14ac:dyDescent="0.2">
      <c r="A159" s="253" t="s">
        <v>232</v>
      </c>
      <c r="B159" s="41"/>
      <c r="C159" s="41"/>
      <c r="D159" s="254">
        <f>B107</f>
        <v>1480</v>
      </c>
      <c r="E159" s="124"/>
      <c r="F159" s="123"/>
      <c r="G159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  <c r="IW159" s="65"/>
      <c r="IX159" s="65"/>
      <c r="IY159" s="65"/>
      <c r="IZ159" s="65"/>
      <c r="JA159" s="65"/>
      <c r="JB159" s="65"/>
      <c r="JC159" s="65"/>
      <c r="JD159" s="65"/>
      <c r="JE159" s="65"/>
      <c r="JF159" s="65"/>
      <c r="JG159" s="65"/>
      <c r="JH159" s="65"/>
      <c r="JI159" s="65"/>
      <c r="JJ159" s="65"/>
      <c r="JK159" s="65"/>
      <c r="JL159" s="65"/>
      <c r="JM159" s="65"/>
      <c r="JN159" s="65"/>
      <c r="JO159" s="65"/>
      <c r="JP159" s="65"/>
      <c r="JQ159" s="65"/>
      <c r="JR159" s="65"/>
      <c r="JS159" s="65"/>
      <c r="JT159" s="65"/>
      <c r="JU159" s="65"/>
      <c r="JV159" s="65"/>
      <c r="JW159" s="65"/>
      <c r="JX159" s="65"/>
      <c r="JY159" s="65"/>
      <c r="JZ159" s="65"/>
      <c r="KA159" s="65"/>
      <c r="KB159" s="65"/>
      <c r="KC159" s="65"/>
      <c r="KD159" s="65"/>
      <c r="KE159" s="65"/>
      <c r="KF159" s="65"/>
      <c r="KG159" s="65"/>
      <c r="KH159" s="65"/>
      <c r="KI159" s="65"/>
      <c r="KJ159" s="65"/>
      <c r="KK159" s="65"/>
      <c r="KL159" s="65"/>
      <c r="KM159" s="65"/>
      <c r="KN159" s="65"/>
      <c r="KO159" s="65"/>
      <c r="KP159" s="65"/>
      <c r="KQ159" s="65"/>
      <c r="KR159" s="65"/>
      <c r="KS159" s="65"/>
      <c r="KT159" s="65"/>
      <c r="KU159" s="65"/>
      <c r="KV159" s="65"/>
      <c r="KW159" s="65"/>
      <c r="KX159" s="65"/>
      <c r="KY159" s="65"/>
      <c r="KZ159" s="65"/>
      <c r="LA159" s="65"/>
      <c r="LB159" s="65"/>
      <c r="LC159" s="65"/>
      <c r="LD159" s="65"/>
      <c r="LE159" s="65"/>
      <c r="LF159" s="65"/>
      <c r="LG159" s="65"/>
      <c r="LH159" s="65"/>
      <c r="LI159" s="65"/>
      <c r="LJ159" s="65"/>
      <c r="LK159" s="65"/>
      <c r="LL159" s="65"/>
      <c r="LM159" s="65"/>
      <c r="LN159" s="65"/>
      <c r="LO159" s="65"/>
      <c r="LP159" s="65"/>
      <c r="LQ159" s="65"/>
      <c r="LR159" s="65"/>
      <c r="LS159" s="65"/>
      <c r="LT159" s="65"/>
      <c r="LU159" s="65"/>
      <c r="LV159" s="65"/>
      <c r="LW159" s="65"/>
      <c r="LX159" s="65"/>
      <c r="LY159" s="65"/>
      <c r="LZ159" s="65"/>
      <c r="MA159" s="65"/>
      <c r="MB159" s="65"/>
      <c r="MC159" s="65"/>
      <c r="MD159" s="65"/>
      <c r="ME159" s="65"/>
      <c r="MF159" s="65"/>
      <c r="MG159" s="65"/>
      <c r="MH159" s="65"/>
      <c r="MI159" s="65"/>
      <c r="MJ159" s="65"/>
      <c r="MK159" s="65"/>
      <c r="ML159" s="65"/>
      <c r="MM159" s="65"/>
      <c r="MN159" s="65"/>
      <c r="MO159" s="65"/>
      <c r="MP159" s="65"/>
      <c r="MQ159" s="65"/>
      <c r="MR159" s="65"/>
      <c r="MS159" s="65"/>
      <c r="MT159" s="65"/>
      <c r="MU159" s="65"/>
      <c r="MV159" s="65"/>
      <c r="MW159" s="65"/>
      <c r="MX159" s="65"/>
      <c r="MY159" s="65"/>
      <c r="MZ159" s="65"/>
      <c r="NA159" s="65"/>
      <c r="NB159" s="65"/>
      <c r="NC159" s="65"/>
      <c r="ND159" s="65"/>
      <c r="NE159" s="65"/>
      <c r="NF159" s="65"/>
      <c r="NG159" s="65"/>
      <c r="NH159" s="65"/>
      <c r="NI159" s="65"/>
      <c r="NJ159" s="65"/>
      <c r="NK159" s="65"/>
      <c r="NL159" s="65"/>
      <c r="NM159" s="65"/>
      <c r="NN159" s="65"/>
      <c r="NO159" s="65"/>
      <c r="NP159" s="65"/>
      <c r="NQ159" s="65"/>
      <c r="NR159" s="65"/>
      <c r="NS159" s="65"/>
      <c r="NT159" s="65"/>
      <c r="NU159" s="65"/>
      <c r="NV159" s="65"/>
      <c r="NW159" s="65"/>
      <c r="NX159" s="65"/>
      <c r="NY159" s="65"/>
      <c r="NZ159" s="65"/>
      <c r="OA159" s="65"/>
      <c r="OB159" s="65"/>
      <c r="OC159" s="65"/>
      <c r="OD159" s="65"/>
      <c r="OE159" s="65"/>
      <c r="OF159" s="65"/>
      <c r="OG159" s="65"/>
      <c r="OH159" s="65"/>
      <c r="OI159" s="65"/>
      <c r="OJ159" s="65"/>
      <c r="OK159" s="65"/>
      <c r="OL159" s="65"/>
      <c r="OM159" s="65"/>
      <c r="ON159" s="65"/>
      <c r="OO159" s="65"/>
      <c r="OP159" s="65"/>
      <c r="OQ159" s="65"/>
      <c r="OR159" s="65"/>
      <c r="OS159" s="65"/>
      <c r="OT159" s="65"/>
      <c r="OU159" s="65"/>
      <c r="OV159" s="65"/>
      <c r="OW159" s="65"/>
      <c r="OX159" s="65"/>
      <c r="OY159" s="65"/>
      <c r="OZ159" s="65"/>
      <c r="PA159" s="65"/>
      <c r="PB159" s="65"/>
      <c r="PC159" s="65"/>
      <c r="PD159" s="65"/>
      <c r="PE159" s="65"/>
      <c r="PF159" s="65"/>
      <c r="PG159" s="65"/>
      <c r="PH159" s="65"/>
      <c r="PI159" s="65"/>
      <c r="PJ159" s="65"/>
      <c r="PK159" s="65"/>
      <c r="PL159" s="65"/>
      <c r="PM159" s="65"/>
      <c r="PN159" s="65"/>
      <c r="PO159" s="65"/>
      <c r="PP159" s="65"/>
      <c r="PQ159" s="65"/>
      <c r="PR159" s="65"/>
      <c r="PS159" s="65"/>
      <c r="PT159" s="65"/>
      <c r="PU159" s="65"/>
      <c r="PV159" s="65"/>
      <c r="PW159" s="65"/>
      <c r="PX159" s="65"/>
      <c r="PY159" s="65"/>
      <c r="PZ159" s="65"/>
      <c r="QA159" s="65"/>
      <c r="QB159" s="65"/>
      <c r="QC159" s="65"/>
      <c r="QD159" s="65"/>
      <c r="QE159" s="65"/>
      <c r="QF159" s="65"/>
      <c r="QG159" s="65"/>
      <c r="QH159" s="65"/>
      <c r="QI159" s="65"/>
      <c r="QJ159" s="65"/>
      <c r="QK159" s="65"/>
      <c r="QL159" s="65"/>
      <c r="QM159" s="65"/>
      <c r="QN159" s="65"/>
      <c r="QO159" s="65"/>
      <c r="QP159" s="65"/>
      <c r="QQ159" s="65"/>
      <c r="QR159" s="65"/>
      <c r="QS159" s="65"/>
      <c r="QT159" s="65"/>
      <c r="QU159" s="65"/>
      <c r="QV159" s="65"/>
      <c r="QW159" s="65"/>
      <c r="QX159" s="65"/>
      <c r="QY159" s="65"/>
      <c r="QZ159" s="65"/>
      <c r="RA159" s="65"/>
      <c r="RB159" s="65"/>
      <c r="RC159" s="65"/>
      <c r="RD159" s="65"/>
      <c r="RE159" s="65"/>
      <c r="RF159" s="65"/>
      <c r="RG159" s="65"/>
      <c r="RH159" s="65"/>
      <c r="RI159" s="65"/>
      <c r="RJ159" s="65"/>
      <c r="RK159" s="65"/>
      <c r="RL159" s="65"/>
      <c r="RM159" s="65"/>
      <c r="RN159" s="65"/>
      <c r="RO159" s="65"/>
      <c r="RP159" s="65"/>
      <c r="RQ159" s="65"/>
      <c r="RR159" s="65"/>
      <c r="RS159" s="65"/>
      <c r="RT159" s="65"/>
      <c r="RU159" s="65"/>
      <c r="RV159" s="65"/>
      <c r="RW159" s="65"/>
      <c r="RX159" s="65"/>
      <c r="RY159" s="65"/>
      <c r="RZ159" s="65"/>
      <c r="SA159" s="65"/>
      <c r="SB159" s="65"/>
      <c r="SC159" s="65"/>
      <c r="SD159" s="65"/>
      <c r="SE159" s="65"/>
      <c r="SF159" s="65"/>
      <c r="SG159" s="65"/>
      <c r="SH159" s="65"/>
      <c r="SI159" s="65"/>
      <c r="SJ159" s="65"/>
      <c r="SK159" s="65"/>
      <c r="SL159" s="65"/>
      <c r="SM159" s="65"/>
      <c r="SN159" s="65"/>
      <c r="SO159" s="65"/>
      <c r="SP159" s="65"/>
      <c r="SQ159" s="65"/>
      <c r="SR159" s="65"/>
      <c r="SS159" s="65"/>
      <c r="ST159" s="65"/>
      <c r="SU159" s="65"/>
      <c r="SV159" s="65"/>
      <c r="SW159" s="65"/>
      <c r="SX159" s="65"/>
      <c r="SY159" s="65"/>
      <c r="SZ159" s="65"/>
      <c r="TA159" s="65"/>
      <c r="TB159" s="65"/>
      <c r="TC159" s="65"/>
      <c r="TD159" s="65"/>
      <c r="TE159" s="65"/>
      <c r="TF159" s="65"/>
      <c r="TG159" s="65"/>
      <c r="TH159" s="65"/>
      <c r="TI159" s="65"/>
      <c r="TJ159" s="65"/>
      <c r="TK159" s="65"/>
      <c r="TL159" s="65"/>
      <c r="TM159" s="65"/>
      <c r="TN159" s="65"/>
      <c r="TO159" s="65"/>
      <c r="TP159" s="65"/>
      <c r="TQ159" s="65"/>
      <c r="TR159" s="65"/>
      <c r="TS159" s="65"/>
      <c r="TT159" s="65"/>
      <c r="TU159" s="65"/>
      <c r="TV159" s="65"/>
      <c r="TW159" s="65"/>
      <c r="TX159" s="65"/>
      <c r="TY159" s="65"/>
      <c r="TZ159" s="65"/>
      <c r="UA159" s="65"/>
      <c r="UB159" s="65"/>
      <c r="UC159" s="65"/>
      <c r="UD159" s="65"/>
      <c r="UE159" s="65"/>
      <c r="UF159" s="65"/>
      <c r="UG159" s="65"/>
      <c r="UH159" s="65"/>
      <c r="UI159" s="65"/>
      <c r="UJ159" s="65"/>
      <c r="UK159" s="65"/>
      <c r="UL159" s="65"/>
      <c r="UM159" s="65"/>
      <c r="UN159" s="65"/>
      <c r="UO159" s="65"/>
      <c r="UP159" s="65"/>
      <c r="UQ159" s="65"/>
      <c r="UR159" s="65"/>
      <c r="US159" s="65"/>
      <c r="UT159" s="65"/>
      <c r="UU159" s="65"/>
      <c r="UV159" s="65"/>
      <c r="UW159" s="65"/>
      <c r="UX159" s="65"/>
      <c r="UY159" s="65"/>
      <c r="UZ159" s="65"/>
      <c r="VA159" s="65"/>
      <c r="VB159" s="65"/>
      <c r="VC159" s="65"/>
      <c r="VD159" s="65"/>
      <c r="VE159" s="65"/>
      <c r="VF159" s="65"/>
      <c r="VG159" s="65"/>
      <c r="VH159" s="65"/>
      <c r="VI159" s="65"/>
      <c r="VJ159" s="65"/>
      <c r="VK159" s="65"/>
      <c r="VL159" s="65"/>
      <c r="VM159" s="65"/>
      <c r="VN159" s="65"/>
      <c r="VO159" s="65"/>
      <c r="VP159" s="65"/>
      <c r="VQ159" s="65"/>
      <c r="VR159" s="65"/>
      <c r="VS159" s="65"/>
      <c r="VT159" s="65"/>
      <c r="VU159" s="65"/>
      <c r="VV159" s="65"/>
      <c r="VW159" s="65"/>
      <c r="VX159" s="65"/>
      <c r="VY159" s="65"/>
      <c r="VZ159" s="65"/>
      <c r="WA159" s="65"/>
      <c r="WB159" s="65"/>
      <c r="WC159" s="65"/>
      <c r="WD159" s="65"/>
      <c r="WE159" s="65"/>
      <c r="WF159" s="65"/>
      <c r="WG159" s="65"/>
      <c r="WH159" s="65"/>
      <c r="WI159" s="65"/>
      <c r="WJ159" s="65"/>
      <c r="WK159" s="65"/>
      <c r="WL159" s="65"/>
      <c r="WM159" s="65"/>
      <c r="WN159" s="65"/>
      <c r="WO159" s="65"/>
      <c r="WP159" s="65"/>
      <c r="WQ159" s="65"/>
      <c r="WR159" s="65"/>
      <c r="WS159" s="65"/>
      <c r="WT159" s="65"/>
      <c r="WU159" s="65"/>
      <c r="WV159" s="65"/>
      <c r="WW159" s="65"/>
      <c r="WX159" s="65"/>
      <c r="WY159" s="65"/>
      <c r="WZ159" s="65"/>
      <c r="XA159" s="65"/>
      <c r="XB159" s="65"/>
      <c r="XC159" s="65"/>
      <c r="XD159" s="65"/>
      <c r="XE159" s="65"/>
      <c r="XF159" s="65"/>
      <c r="XG159" s="65"/>
      <c r="XH159" s="65"/>
      <c r="XI159" s="65"/>
      <c r="XJ159" s="65"/>
      <c r="XK159" s="65"/>
      <c r="XL159" s="65"/>
      <c r="XM159" s="65"/>
      <c r="XN159" s="65"/>
      <c r="XO159" s="65"/>
      <c r="XP159" s="65"/>
      <c r="XQ159" s="65"/>
      <c r="XR159" s="65"/>
      <c r="XS159" s="65"/>
      <c r="XT159" s="65"/>
      <c r="XU159" s="65"/>
      <c r="XV159" s="65"/>
      <c r="XW159" s="65"/>
      <c r="XX159" s="65"/>
      <c r="XY159" s="65"/>
      <c r="XZ159" s="65"/>
      <c r="YA159" s="65"/>
      <c r="YB159" s="65"/>
      <c r="YC159" s="65"/>
      <c r="YD159" s="65"/>
      <c r="YE159" s="65"/>
      <c r="YF159" s="65"/>
      <c r="YG159" s="65"/>
      <c r="YH159" s="65"/>
      <c r="YI159" s="65"/>
      <c r="YJ159" s="65"/>
      <c r="YK159" s="65"/>
      <c r="YL159" s="65"/>
      <c r="YM159" s="65"/>
      <c r="YN159" s="65"/>
      <c r="YO159" s="65"/>
      <c r="YP159" s="65"/>
      <c r="YQ159" s="65"/>
      <c r="YR159" s="65"/>
      <c r="YS159" s="65"/>
      <c r="YT159" s="65"/>
      <c r="YU159" s="65"/>
      <c r="YV159" s="65"/>
      <c r="YW159" s="65"/>
      <c r="YX159" s="65"/>
      <c r="YY159" s="65"/>
      <c r="YZ159" s="65"/>
      <c r="ZA159" s="65"/>
      <c r="ZB159" s="65"/>
      <c r="ZC159" s="65"/>
      <c r="ZD159" s="65"/>
      <c r="ZE159" s="65"/>
      <c r="ZF159" s="65"/>
      <c r="ZG159" s="65"/>
      <c r="ZH159" s="65"/>
      <c r="ZI159" s="65"/>
      <c r="ZJ159" s="65"/>
      <c r="ZK159" s="65"/>
      <c r="ZL159" s="65"/>
      <c r="ZM159" s="65"/>
      <c r="ZN159" s="65"/>
      <c r="ZO159" s="65"/>
      <c r="ZP159" s="65"/>
      <c r="ZQ159" s="65"/>
      <c r="ZR159" s="65"/>
      <c r="ZS159" s="65"/>
      <c r="ZT159" s="65"/>
      <c r="ZU159" s="65"/>
      <c r="ZV159" s="65"/>
      <c r="ZW159" s="65"/>
      <c r="ZX159" s="65"/>
      <c r="ZY159" s="65"/>
      <c r="ZZ159" s="65"/>
      <c r="AAA159" s="65"/>
      <c r="AAB159" s="65"/>
      <c r="AAC159" s="65"/>
      <c r="AAD159" s="65"/>
      <c r="AAE159" s="65"/>
      <c r="AAF159" s="65"/>
      <c r="AAG159" s="65"/>
      <c r="AAH159" s="65"/>
      <c r="AAI159" s="65"/>
      <c r="AAJ159" s="65"/>
      <c r="AAK159" s="65"/>
      <c r="AAL159" s="65"/>
      <c r="AAM159" s="65"/>
      <c r="AAN159" s="65"/>
      <c r="AAO159" s="65"/>
      <c r="AAP159" s="65"/>
      <c r="AAQ159" s="65"/>
      <c r="AAR159" s="65"/>
      <c r="AAS159" s="65"/>
      <c r="AAT159" s="65"/>
      <c r="AAU159" s="65"/>
      <c r="AAV159" s="65"/>
      <c r="AAW159" s="65"/>
      <c r="AAX159" s="65"/>
      <c r="AAY159" s="65"/>
      <c r="AAZ159" s="65"/>
      <c r="ABA159" s="65"/>
      <c r="ABB159" s="65"/>
      <c r="ABC159" s="65"/>
      <c r="ABD159" s="65"/>
      <c r="ABE159" s="65"/>
      <c r="ABF159" s="65"/>
      <c r="ABG159" s="65"/>
      <c r="ABH159" s="65"/>
      <c r="ABI159" s="65"/>
      <c r="ABJ159" s="65"/>
      <c r="ABK159" s="65"/>
      <c r="ABL159" s="65"/>
      <c r="ABM159" s="65"/>
      <c r="ABN159" s="65"/>
      <c r="ABO159" s="65"/>
      <c r="ABP159" s="65"/>
      <c r="ABQ159" s="65"/>
      <c r="ABR159" s="65"/>
      <c r="ABS159" s="65"/>
      <c r="ABT159" s="65"/>
      <c r="ABU159" s="65"/>
      <c r="ABV159" s="65"/>
      <c r="ABW159" s="65"/>
      <c r="ABX159" s="65"/>
      <c r="ABY159" s="65"/>
      <c r="ABZ159" s="65"/>
      <c r="ACA159" s="65"/>
      <c r="ACB159" s="65"/>
      <c r="ACC159" s="65"/>
      <c r="ACD159" s="65"/>
      <c r="ACE159" s="65"/>
      <c r="ACF159" s="65"/>
      <c r="ACG159" s="65"/>
      <c r="ACH159" s="65"/>
      <c r="ACI159" s="65"/>
      <c r="ACJ159" s="65"/>
      <c r="ACK159" s="65"/>
      <c r="ACL159" s="65"/>
      <c r="ACM159" s="65"/>
      <c r="ACN159" s="65"/>
      <c r="ACO159" s="65"/>
      <c r="ACP159" s="65"/>
      <c r="ACQ159" s="65"/>
      <c r="ACR159" s="65"/>
      <c r="ACS159" s="65"/>
      <c r="ACT159" s="65"/>
      <c r="ACU159" s="65"/>
      <c r="ACV159" s="65"/>
      <c r="ACW159" s="65"/>
      <c r="ACX159" s="65"/>
      <c r="ACY159" s="65"/>
      <c r="ACZ159" s="65"/>
      <c r="ADA159" s="65"/>
      <c r="ADB159" s="65"/>
      <c r="ADC159" s="65"/>
      <c r="ADD159" s="65"/>
      <c r="ADE159" s="65"/>
      <c r="ADF159" s="65"/>
      <c r="ADG159" s="65"/>
      <c r="ADH159" s="65"/>
      <c r="ADI159" s="65"/>
      <c r="ADJ159" s="65"/>
      <c r="ADK159" s="65"/>
      <c r="ADL159" s="65"/>
      <c r="ADM159" s="65"/>
      <c r="ADN159" s="65"/>
      <c r="ADO159" s="65"/>
      <c r="ADP159" s="65"/>
      <c r="ADQ159" s="65"/>
      <c r="ADR159" s="65"/>
      <c r="ADS159" s="65"/>
      <c r="ADT159" s="65"/>
      <c r="ADU159" s="65"/>
      <c r="ADV159" s="65"/>
      <c r="ADW159" s="65"/>
      <c r="ADX159" s="65"/>
      <c r="ADY159" s="65"/>
      <c r="ADZ159" s="65"/>
      <c r="AEA159" s="65"/>
      <c r="AEB159" s="65"/>
      <c r="AEC159" s="65"/>
      <c r="AED159" s="65"/>
      <c r="AEE159" s="65"/>
      <c r="AEF159" s="65"/>
      <c r="AEG159" s="65"/>
      <c r="AEH159" s="65"/>
      <c r="AEI159" s="65"/>
      <c r="AEJ159" s="65"/>
      <c r="AEK159" s="65"/>
      <c r="AEL159" s="65"/>
      <c r="AEM159" s="65"/>
      <c r="AEN159" s="65"/>
      <c r="AEO159" s="65"/>
      <c r="AEP159" s="65"/>
      <c r="AEQ159" s="65"/>
      <c r="AER159" s="65"/>
      <c r="AES159" s="65"/>
      <c r="AET159" s="65"/>
      <c r="AEU159" s="65"/>
      <c r="AEV159" s="65"/>
      <c r="AEW159" s="65"/>
      <c r="AEX159" s="65"/>
      <c r="AEY159" s="65"/>
      <c r="AEZ159" s="65"/>
      <c r="AFA159" s="65"/>
      <c r="AFB159" s="65"/>
      <c r="AFC159" s="65"/>
      <c r="AFD159" s="65"/>
      <c r="AFE159" s="65"/>
      <c r="AFF159" s="65"/>
      <c r="AFG159" s="65"/>
      <c r="AFH159" s="65"/>
      <c r="AFI159" s="65"/>
      <c r="AFJ159" s="65"/>
      <c r="AFK159" s="65"/>
      <c r="AFL159" s="65"/>
      <c r="AFM159" s="65"/>
      <c r="AFN159" s="65"/>
      <c r="AFO159" s="65"/>
      <c r="AFP159" s="65"/>
      <c r="AFQ159" s="65"/>
      <c r="AFR159" s="65"/>
      <c r="AFS159" s="65"/>
      <c r="AFT159" s="65"/>
      <c r="AFU159" s="65"/>
      <c r="AFV159" s="65"/>
      <c r="AFW159" s="65"/>
      <c r="AFX159" s="65"/>
      <c r="AFY159" s="65"/>
      <c r="AFZ159" s="65"/>
      <c r="AGA159" s="65"/>
      <c r="AGB159" s="65"/>
      <c r="AGC159" s="65"/>
      <c r="AGD159" s="65"/>
      <c r="AGE159" s="65"/>
      <c r="AGF159" s="65"/>
      <c r="AGG159" s="65"/>
      <c r="AGH159" s="65"/>
      <c r="AGI159" s="65"/>
      <c r="AGJ159" s="65"/>
      <c r="AGK159" s="65"/>
      <c r="AGL159" s="65"/>
      <c r="AGM159" s="65"/>
      <c r="AGN159" s="65"/>
      <c r="AGO159" s="65"/>
      <c r="AGP159" s="65"/>
      <c r="AGQ159" s="65"/>
      <c r="AGR159" s="65"/>
      <c r="AGS159" s="65"/>
      <c r="AGT159" s="65"/>
      <c r="AGU159" s="65"/>
      <c r="AGV159" s="65"/>
      <c r="AGW159" s="65"/>
      <c r="AGX159" s="65"/>
      <c r="AGY159" s="65"/>
      <c r="AGZ159" s="65"/>
      <c r="AHA159" s="65"/>
      <c r="AHB159" s="65"/>
      <c r="AHC159" s="65"/>
      <c r="AHD159" s="65"/>
      <c r="AHE159" s="65"/>
      <c r="AHF159" s="65"/>
      <c r="AHG159" s="65"/>
      <c r="AHH159" s="65"/>
      <c r="AHI159" s="65"/>
      <c r="AHJ159" s="65"/>
      <c r="AHK159" s="65"/>
      <c r="AHL159" s="65"/>
      <c r="AHM159" s="65"/>
      <c r="AHN159" s="65"/>
      <c r="AHO159" s="65"/>
      <c r="AHP159" s="65"/>
      <c r="AHQ159" s="65"/>
      <c r="AHR159" s="65"/>
      <c r="AHS159" s="65"/>
      <c r="AHT159" s="65"/>
      <c r="AHU159" s="65"/>
      <c r="AHV159" s="65"/>
      <c r="AHW159" s="65"/>
      <c r="AHX159" s="65"/>
      <c r="AHY159" s="65"/>
      <c r="AHZ159" s="65"/>
      <c r="AIA159" s="65"/>
      <c r="AIB159" s="65"/>
      <c r="AIC159" s="65"/>
      <c r="AID159" s="65"/>
      <c r="AIE159" s="65"/>
      <c r="AIF159" s="65"/>
      <c r="AIG159" s="65"/>
      <c r="AIH159" s="65"/>
      <c r="AII159" s="65"/>
      <c r="AIJ159" s="65"/>
      <c r="AIK159" s="65"/>
      <c r="AIL159" s="65"/>
      <c r="AIM159" s="65"/>
      <c r="AIN159" s="65"/>
      <c r="AIO159" s="65"/>
      <c r="AIP159" s="65"/>
      <c r="AIQ159" s="65"/>
      <c r="AIR159" s="65"/>
      <c r="AIS159" s="65"/>
      <c r="AIT159" s="65"/>
      <c r="AIU159" s="65"/>
      <c r="AIV159" s="65"/>
      <c r="AIW159" s="65"/>
      <c r="AIX159" s="65"/>
      <c r="AIY159" s="65"/>
      <c r="AIZ159" s="65"/>
      <c r="AJA159" s="65"/>
      <c r="AJB159" s="65"/>
      <c r="AJC159" s="65"/>
      <c r="AJD159" s="65"/>
      <c r="AJE159" s="65"/>
      <c r="AJF159" s="65"/>
      <c r="AJG159" s="65"/>
      <c r="AJH159" s="65"/>
      <c r="AJI159" s="65"/>
      <c r="AJJ159" s="65"/>
      <c r="AJK159" s="65"/>
      <c r="AJL159" s="65"/>
      <c r="AJM159" s="65"/>
      <c r="AJN159" s="65"/>
      <c r="AJO159" s="65"/>
      <c r="AJP159" s="65"/>
      <c r="AJQ159" s="65"/>
      <c r="AJR159" s="65"/>
      <c r="AJS159" s="65"/>
      <c r="AJT159" s="65"/>
      <c r="AJU159" s="65"/>
      <c r="AJV159" s="65"/>
      <c r="AJW159" s="65"/>
      <c r="AJX159" s="65"/>
      <c r="AJY159" s="65"/>
      <c r="AJZ159" s="65"/>
      <c r="AKA159" s="65"/>
      <c r="AKB159" s="65"/>
      <c r="AKC159" s="65"/>
      <c r="AKD159" s="65"/>
      <c r="AKE159" s="65"/>
      <c r="AKF159" s="65"/>
      <c r="AKG159" s="65"/>
      <c r="AKH159" s="65"/>
      <c r="AKI159" s="65"/>
      <c r="AKJ159" s="65"/>
      <c r="AKK159" s="65"/>
      <c r="AKL159" s="65"/>
      <c r="AKM159" s="65"/>
      <c r="AKN159" s="65"/>
      <c r="AKO159" s="65"/>
      <c r="AKP159" s="65"/>
      <c r="AKQ159" s="65"/>
      <c r="AKR159" s="65"/>
      <c r="AKS159" s="65"/>
      <c r="AKT159" s="65"/>
      <c r="AKU159" s="65"/>
      <c r="AKV159" s="65"/>
      <c r="AKW159" s="65"/>
      <c r="AKX159" s="65"/>
      <c r="AKY159" s="65"/>
      <c r="AKZ159" s="65"/>
      <c r="ALA159" s="65"/>
      <c r="ALB159" s="65"/>
      <c r="ALC159" s="65"/>
      <c r="ALD159" s="65"/>
      <c r="ALE159" s="65"/>
      <c r="ALF159" s="65"/>
      <c r="ALG159" s="65"/>
      <c r="ALH159" s="65"/>
      <c r="ALI159" s="65"/>
      <c r="ALJ159" s="65"/>
      <c r="ALK159" s="65"/>
      <c r="ALL159" s="65"/>
      <c r="ALM159" s="65"/>
      <c r="ALN159" s="65"/>
      <c r="ALO159" s="65"/>
      <c r="ALP159" s="65"/>
      <c r="ALQ159" s="65"/>
      <c r="ALR159" s="65"/>
      <c r="ALS159" s="65"/>
      <c r="ALT159" s="65"/>
      <c r="ALU159" s="65"/>
      <c r="ALV159" s="65"/>
      <c r="ALW159" s="65"/>
      <c r="ALX159" s="65"/>
      <c r="ALY159" s="65"/>
      <c r="ALZ159" s="65"/>
      <c r="AMA159" s="65"/>
      <c r="AMB159" s="65"/>
      <c r="AMC159" s="65"/>
      <c r="AMD159" s="65"/>
      <c r="AME159" s="65"/>
      <c r="AMF159" s="65"/>
      <c r="AMG159" s="65"/>
      <c r="AMH159" s="65"/>
      <c r="AMI159" s="65"/>
      <c r="AMJ159" s="65"/>
      <c r="AMK159" s="65"/>
    </row>
    <row r="160" spans="1:1025" ht="12.6" customHeight="1" thickBot="1" x14ac:dyDescent="0.25">
      <c r="A160"/>
      <c r="B160"/>
      <c r="C160"/>
      <c r="D160"/>
      <c r="E160"/>
      <c r="F160"/>
      <c r="G160"/>
    </row>
    <row r="161" spans="1:1025" ht="26.25" customHeight="1" thickBot="1" x14ac:dyDescent="0.25">
      <c r="A161" s="83" t="s">
        <v>208</v>
      </c>
      <c r="B161" s="84"/>
      <c r="C161" s="84"/>
      <c r="D161" s="34"/>
      <c r="E161" s="125" t="s">
        <v>19</v>
      </c>
      <c r="F161" s="94">
        <f>F156/D159</f>
        <v>10.928977073341157</v>
      </c>
      <c r="G161"/>
    </row>
    <row r="162" spans="1:1025" x14ac:dyDescent="0.2">
      <c r="A162" s="288" t="s">
        <v>234</v>
      </c>
      <c r="B162" s="288"/>
      <c r="C162" s="288"/>
      <c r="D162" s="288"/>
      <c r="E162" s="288"/>
      <c r="F162" s="288"/>
      <c r="G162"/>
    </row>
    <row r="163" spans="1:1025" x14ac:dyDescent="0.2">
      <c r="A163" s="284" t="s">
        <v>242</v>
      </c>
      <c r="B163" s="284"/>
      <c r="C163" s="284"/>
      <c r="D163" s="284"/>
      <c r="E163" s="284"/>
      <c r="F163" s="284"/>
      <c r="G163"/>
    </row>
    <row r="164" spans="1:1025" x14ac:dyDescent="0.2">
      <c r="A164" s="284" t="s">
        <v>239</v>
      </c>
      <c r="B164" s="284"/>
      <c r="C164" s="284"/>
      <c r="D164" s="284"/>
      <c r="E164" s="284"/>
      <c r="F164" s="284"/>
      <c r="G164"/>
    </row>
    <row r="165" spans="1:1025" x14ac:dyDescent="0.2">
      <c r="A165" s="279" t="s">
        <v>243</v>
      </c>
      <c r="B165" s="279"/>
      <c r="C165" s="279"/>
      <c r="D165" s="279"/>
      <c r="E165" s="279"/>
      <c r="F165" s="279"/>
      <c r="G1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  <c r="IT165" s="65"/>
      <c r="IU165" s="65"/>
      <c r="IV165" s="65"/>
      <c r="IW165" s="65"/>
      <c r="IX165" s="65"/>
      <c r="IY165" s="65"/>
      <c r="IZ165" s="65"/>
      <c r="JA165" s="65"/>
      <c r="JB165" s="65"/>
      <c r="JC165" s="65"/>
      <c r="JD165" s="65"/>
      <c r="JE165" s="65"/>
      <c r="JF165" s="65"/>
      <c r="JG165" s="65"/>
      <c r="JH165" s="65"/>
      <c r="JI165" s="65"/>
      <c r="JJ165" s="65"/>
      <c r="JK165" s="65"/>
      <c r="JL165" s="65"/>
      <c r="JM165" s="65"/>
      <c r="JN165" s="65"/>
      <c r="JO165" s="65"/>
      <c r="JP165" s="65"/>
      <c r="JQ165" s="65"/>
      <c r="JR165" s="65"/>
      <c r="JS165" s="65"/>
      <c r="JT165" s="65"/>
      <c r="JU165" s="65"/>
      <c r="JV165" s="65"/>
      <c r="JW165" s="65"/>
      <c r="JX165" s="65"/>
      <c r="JY165" s="65"/>
      <c r="JZ165" s="65"/>
      <c r="KA165" s="65"/>
      <c r="KB165" s="65"/>
      <c r="KC165" s="65"/>
      <c r="KD165" s="65"/>
      <c r="KE165" s="65"/>
      <c r="KF165" s="65"/>
      <c r="KG165" s="65"/>
      <c r="KH165" s="65"/>
      <c r="KI165" s="65"/>
      <c r="KJ165" s="65"/>
      <c r="KK165" s="65"/>
      <c r="KL165" s="65"/>
      <c r="KM165" s="65"/>
      <c r="KN165" s="65"/>
      <c r="KO165" s="65"/>
      <c r="KP165" s="65"/>
      <c r="KQ165" s="65"/>
      <c r="KR165" s="65"/>
      <c r="KS165" s="65"/>
      <c r="KT165" s="65"/>
      <c r="KU165" s="65"/>
      <c r="KV165" s="65"/>
      <c r="KW165" s="65"/>
      <c r="KX165" s="65"/>
      <c r="KY165" s="65"/>
      <c r="KZ165" s="65"/>
      <c r="LA165" s="65"/>
      <c r="LB165" s="65"/>
      <c r="LC165" s="65"/>
      <c r="LD165" s="65"/>
      <c r="LE165" s="65"/>
      <c r="LF165" s="65"/>
      <c r="LG165" s="65"/>
      <c r="LH165" s="65"/>
      <c r="LI165" s="65"/>
      <c r="LJ165" s="65"/>
      <c r="LK165" s="65"/>
      <c r="LL165" s="65"/>
      <c r="LM165" s="65"/>
      <c r="LN165" s="65"/>
      <c r="LO165" s="65"/>
      <c r="LP165" s="65"/>
      <c r="LQ165" s="65"/>
      <c r="LR165" s="65"/>
      <c r="LS165" s="65"/>
      <c r="LT165" s="65"/>
      <c r="LU165" s="65"/>
      <c r="LV165" s="65"/>
      <c r="LW165" s="65"/>
      <c r="LX165" s="65"/>
      <c r="LY165" s="65"/>
      <c r="LZ165" s="65"/>
      <c r="MA165" s="65"/>
      <c r="MB165" s="65"/>
      <c r="MC165" s="65"/>
      <c r="MD165" s="65"/>
      <c r="ME165" s="65"/>
      <c r="MF165" s="65"/>
      <c r="MG165" s="65"/>
      <c r="MH165" s="65"/>
      <c r="MI165" s="65"/>
      <c r="MJ165" s="65"/>
      <c r="MK165" s="65"/>
      <c r="ML165" s="65"/>
      <c r="MM165" s="65"/>
      <c r="MN165" s="65"/>
      <c r="MO165" s="65"/>
      <c r="MP165" s="65"/>
      <c r="MQ165" s="65"/>
      <c r="MR165" s="65"/>
      <c r="MS165" s="65"/>
      <c r="MT165" s="65"/>
      <c r="MU165" s="65"/>
      <c r="MV165" s="65"/>
      <c r="MW165" s="65"/>
      <c r="MX165" s="65"/>
      <c r="MY165" s="65"/>
      <c r="MZ165" s="65"/>
      <c r="NA165" s="65"/>
      <c r="NB165" s="65"/>
      <c r="NC165" s="65"/>
      <c r="ND165" s="65"/>
      <c r="NE165" s="65"/>
      <c r="NF165" s="65"/>
      <c r="NG165" s="65"/>
      <c r="NH165" s="65"/>
      <c r="NI165" s="65"/>
      <c r="NJ165" s="65"/>
      <c r="NK165" s="65"/>
      <c r="NL165" s="65"/>
      <c r="NM165" s="65"/>
      <c r="NN165" s="65"/>
      <c r="NO165" s="65"/>
      <c r="NP165" s="65"/>
      <c r="NQ165" s="65"/>
      <c r="NR165" s="65"/>
      <c r="NS165" s="65"/>
      <c r="NT165" s="65"/>
      <c r="NU165" s="65"/>
      <c r="NV165" s="65"/>
      <c r="NW165" s="65"/>
      <c r="NX165" s="65"/>
      <c r="NY165" s="65"/>
      <c r="NZ165" s="65"/>
      <c r="OA165" s="65"/>
      <c r="OB165" s="65"/>
      <c r="OC165" s="65"/>
      <c r="OD165" s="65"/>
      <c r="OE165" s="65"/>
      <c r="OF165" s="65"/>
      <c r="OG165" s="65"/>
      <c r="OH165" s="65"/>
      <c r="OI165" s="65"/>
      <c r="OJ165" s="65"/>
      <c r="OK165" s="65"/>
      <c r="OL165" s="65"/>
      <c r="OM165" s="65"/>
      <c r="ON165" s="65"/>
      <c r="OO165" s="65"/>
      <c r="OP165" s="65"/>
      <c r="OQ165" s="65"/>
      <c r="OR165" s="65"/>
      <c r="OS165" s="65"/>
      <c r="OT165" s="65"/>
      <c r="OU165" s="65"/>
      <c r="OV165" s="65"/>
      <c r="OW165" s="65"/>
      <c r="OX165" s="65"/>
      <c r="OY165" s="65"/>
      <c r="OZ165" s="65"/>
      <c r="PA165" s="65"/>
      <c r="PB165" s="65"/>
      <c r="PC165" s="65"/>
      <c r="PD165" s="65"/>
      <c r="PE165" s="65"/>
      <c r="PF165" s="65"/>
      <c r="PG165" s="65"/>
      <c r="PH165" s="65"/>
      <c r="PI165" s="65"/>
      <c r="PJ165" s="65"/>
      <c r="PK165" s="65"/>
      <c r="PL165" s="65"/>
      <c r="PM165" s="65"/>
      <c r="PN165" s="65"/>
      <c r="PO165" s="65"/>
      <c r="PP165" s="65"/>
      <c r="PQ165" s="65"/>
      <c r="PR165" s="65"/>
      <c r="PS165" s="65"/>
      <c r="PT165" s="65"/>
      <c r="PU165" s="65"/>
      <c r="PV165" s="65"/>
      <c r="PW165" s="65"/>
      <c r="PX165" s="65"/>
      <c r="PY165" s="65"/>
      <c r="PZ165" s="65"/>
      <c r="QA165" s="65"/>
      <c r="QB165" s="65"/>
      <c r="QC165" s="65"/>
      <c r="QD165" s="65"/>
      <c r="QE165" s="65"/>
      <c r="QF165" s="65"/>
      <c r="QG165" s="65"/>
      <c r="QH165" s="65"/>
      <c r="QI165" s="65"/>
      <c r="QJ165" s="65"/>
      <c r="QK165" s="65"/>
      <c r="QL165" s="65"/>
      <c r="QM165" s="65"/>
      <c r="QN165" s="65"/>
      <c r="QO165" s="65"/>
      <c r="QP165" s="65"/>
      <c r="QQ165" s="65"/>
      <c r="QR165" s="65"/>
      <c r="QS165" s="65"/>
      <c r="QT165" s="65"/>
      <c r="QU165" s="65"/>
      <c r="QV165" s="65"/>
      <c r="QW165" s="65"/>
      <c r="QX165" s="65"/>
      <c r="QY165" s="65"/>
      <c r="QZ165" s="65"/>
      <c r="RA165" s="65"/>
      <c r="RB165" s="65"/>
      <c r="RC165" s="65"/>
      <c r="RD165" s="65"/>
      <c r="RE165" s="65"/>
      <c r="RF165" s="65"/>
      <c r="RG165" s="65"/>
      <c r="RH165" s="65"/>
      <c r="RI165" s="65"/>
      <c r="RJ165" s="65"/>
      <c r="RK165" s="65"/>
      <c r="RL165" s="65"/>
      <c r="RM165" s="65"/>
      <c r="RN165" s="65"/>
      <c r="RO165" s="65"/>
      <c r="RP165" s="65"/>
      <c r="RQ165" s="65"/>
      <c r="RR165" s="65"/>
      <c r="RS165" s="65"/>
      <c r="RT165" s="65"/>
      <c r="RU165" s="65"/>
      <c r="RV165" s="65"/>
      <c r="RW165" s="65"/>
      <c r="RX165" s="65"/>
      <c r="RY165" s="65"/>
      <c r="RZ165" s="65"/>
      <c r="SA165" s="65"/>
      <c r="SB165" s="65"/>
      <c r="SC165" s="65"/>
      <c r="SD165" s="65"/>
      <c r="SE165" s="65"/>
      <c r="SF165" s="65"/>
      <c r="SG165" s="65"/>
      <c r="SH165" s="65"/>
      <c r="SI165" s="65"/>
      <c r="SJ165" s="65"/>
      <c r="SK165" s="65"/>
      <c r="SL165" s="65"/>
      <c r="SM165" s="65"/>
      <c r="SN165" s="65"/>
      <c r="SO165" s="65"/>
      <c r="SP165" s="65"/>
      <c r="SQ165" s="65"/>
      <c r="SR165" s="65"/>
      <c r="SS165" s="65"/>
      <c r="ST165" s="65"/>
      <c r="SU165" s="65"/>
      <c r="SV165" s="65"/>
      <c r="SW165" s="65"/>
      <c r="SX165" s="65"/>
      <c r="SY165" s="65"/>
      <c r="SZ165" s="65"/>
      <c r="TA165" s="65"/>
      <c r="TB165" s="65"/>
      <c r="TC165" s="65"/>
      <c r="TD165" s="65"/>
      <c r="TE165" s="65"/>
      <c r="TF165" s="65"/>
      <c r="TG165" s="65"/>
      <c r="TH165" s="65"/>
      <c r="TI165" s="65"/>
      <c r="TJ165" s="65"/>
      <c r="TK165" s="65"/>
      <c r="TL165" s="65"/>
      <c r="TM165" s="65"/>
      <c r="TN165" s="65"/>
      <c r="TO165" s="65"/>
      <c r="TP165" s="65"/>
      <c r="TQ165" s="65"/>
      <c r="TR165" s="65"/>
      <c r="TS165" s="65"/>
      <c r="TT165" s="65"/>
      <c r="TU165" s="65"/>
      <c r="TV165" s="65"/>
      <c r="TW165" s="65"/>
      <c r="TX165" s="65"/>
      <c r="TY165" s="65"/>
      <c r="TZ165" s="65"/>
      <c r="UA165" s="65"/>
      <c r="UB165" s="65"/>
      <c r="UC165" s="65"/>
      <c r="UD165" s="65"/>
      <c r="UE165" s="65"/>
      <c r="UF165" s="65"/>
      <c r="UG165" s="65"/>
      <c r="UH165" s="65"/>
      <c r="UI165" s="65"/>
      <c r="UJ165" s="65"/>
      <c r="UK165" s="65"/>
      <c r="UL165" s="65"/>
      <c r="UM165" s="65"/>
      <c r="UN165" s="65"/>
      <c r="UO165" s="65"/>
      <c r="UP165" s="65"/>
      <c r="UQ165" s="65"/>
      <c r="UR165" s="65"/>
      <c r="US165" s="65"/>
      <c r="UT165" s="65"/>
      <c r="UU165" s="65"/>
      <c r="UV165" s="65"/>
      <c r="UW165" s="65"/>
      <c r="UX165" s="65"/>
      <c r="UY165" s="65"/>
      <c r="UZ165" s="65"/>
      <c r="VA165" s="65"/>
      <c r="VB165" s="65"/>
      <c r="VC165" s="65"/>
      <c r="VD165" s="65"/>
      <c r="VE165" s="65"/>
      <c r="VF165" s="65"/>
      <c r="VG165" s="65"/>
      <c r="VH165" s="65"/>
      <c r="VI165" s="65"/>
      <c r="VJ165" s="65"/>
      <c r="VK165" s="65"/>
      <c r="VL165" s="65"/>
      <c r="VM165" s="65"/>
      <c r="VN165" s="65"/>
      <c r="VO165" s="65"/>
      <c r="VP165" s="65"/>
      <c r="VQ165" s="65"/>
      <c r="VR165" s="65"/>
      <c r="VS165" s="65"/>
      <c r="VT165" s="65"/>
      <c r="VU165" s="65"/>
      <c r="VV165" s="65"/>
      <c r="VW165" s="65"/>
      <c r="VX165" s="65"/>
      <c r="VY165" s="65"/>
      <c r="VZ165" s="65"/>
      <c r="WA165" s="65"/>
      <c r="WB165" s="65"/>
      <c r="WC165" s="65"/>
      <c r="WD165" s="65"/>
      <c r="WE165" s="65"/>
      <c r="WF165" s="65"/>
      <c r="WG165" s="65"/>
      <c r="WH165" s="65"/>
      <c r="WI165" s="65"/>
      <c r="WJ165" s="65"/>
      <c r="WK165" s="65"/>
      <c r="WL165" s="65"/>
      <c r="WM165" s="65"/>
      <c r="WN165" s="65"/>
      <c r="WO165" s="65"/>
      <c r="WP165" s="65"/>
      <c r="WQ165" s="65"/>
      <c r="WR165" s="65"/>
      <c r="WS165" s="65"/>
      <c r="WT165" s="65"/>
      <c r="WU165" s="65"/>
      <c r="WV165" s="65"/>
      <c r="WW165" s="65"/>
      <c r="WX165" s="65"/>
      <c r="WY165" s="65"/>
      <c r="WZ165" s="65"/>
      <c r="XA165" s="65"/>
      <c r="XB165" s="65"/>
      <c r="XC165" s="65"/>
      <c r="XD165" s="65"/>
      <c r="XE165" s="65"/>
      <c r="XF165" s="65"/>
      <c r="XG165" s="65"/>
      <c r="XH165" s="65"/>
      <c r="XI165" s="65"/>
      <c r="XJ165" s="65"/>
      <c r="XK165" s="65"/>
      <c r="XL165" s="65"/>
      <c r="XM165" s="65"/>
      <c r="XN165" s="65"/>
      <c r="XO165" s="65"/>
      <c r="XP165" s="65"/>
      <c r="XQ165" s="65"/>
      <c r="XR165" s="65"/>
      <c r="XS165" s="65"/>
      <c r="XT165" s="65"/>
      <c r="XU165" s="65"/>
      <c r="XV165" s="65"/>
      <c r="XW165" s="65"/>
      <c r="XX165" s="65"/>
      <c r="XY165" s="65"/>
      <c r="XZ165" s="65"/>
      <c r="YA165" s="65"/>
      <c r="YB165" s="65"/>
      <c r="YC165" s="65"/>
      <c r="YD165" s="65"/>
      <c r="YE165" s="65"/>
      <c r="YF165" s="65"/>
      <c r="YG165" s="65"/>
      <c r="YH165" s="65"/>
      <c r="YI165" s="65"/>
      <c r="YJ165" s="65"/>
      <c r="YK165" s="65"/>
      <c r="YL165" s="65"/>
      <c r="YM165" s="65"/>
      <c r="YN165" s="65"/>
      <c r="YO165" s="65"/>
      <c r="YP165" s="65"/>
      <c r="YQ165" s="65"/>
      <c r="YR165" s="65"/>
      <c r="YS165" s="65"/>
      <c r="YT165" s="65"/>
      <c r="YU165" s="65"/>
      <c r="YV165" s="65"/>
      <c r="YW165" s="65"/>
      <c r="YX165" s="65"/>
      <c r="YY165" s="65"/>
      <c r="YZ165" s="65"/>
      <c r="ZA165" s="65"/>
      <c r="ZB165" s="65"/>
      <c r="ZC165" s="65"/>
      <c r="ZD165" s="65"/>
      <c r="ZE165" s="65"/>
      <c r="ZF165" s="65"/>
      <c r="ZG165" s="65"/>
      <c r="ZH165" s="65"/>
      <c r="ZI165" s="65"/>
      <c r="ZJ165" s="65"/>
      <c r="ZK165" s="65"/>
      <c r="ZL165" s="65"/>
      <c r="ZM165" s="65"/>
      <c r="ZN165" s="65"/>
      <c r="ZO165" s="65"/>
      <c r="ZP165" s="65"/>
      <c r="ZQ165" s="65"/>
      <c r="ZR165" s="65"/>
      <c r="ZS165" s="65"/>
      <c r="ZT165" s="65"/>
      <c r="ZU165" s="65"/>
      <c r="ZV165" s="65"/>
      <c r="ZW165" s="65"/>
      <c r="ZX165" s="65"/>
      <c r="ZY165" s="65"/>
      <c r="ZZ165" s="65"/>
      <c r="AAA165" s="65"/>
      <c r="AAB165" s="65"/>
      <c r="AAC165" s="65"/>
      <c r="AAD165" s="65"/>
      <c r="AAE165" s="65"/>
      <c r="AAF165" s="65"/>
      <c r="AAG165" s="65"/>
      <c r="AAH165" s="65"/>
      <c r="AAI165" s="65"/>
      <c r="AAJ165" s="65"/>
      <c r="AAK165" s="65"/>
      <c r="AAL165" s="65"/>
      <c r="AAM165" s="65"/>
      <c r="AAN165" s="65"/>
      <c r="AAO165" s="65"/>
      <c r="AAP165" s="65"/>
      <c r="AAQ165" s="65"/>
      <c r="AAR165" s="65"/>
      <c r="AAS165" s="65"/>
      <c r="AAT165" s="65"/>
      <c r="AAU165" s="65"/>
      <c r="AAV165" s="65"/>
      <c r="AAW165" s="65"/>
      <c r="AAX165" s="65"/>
      <c r="AAY165" s="65"/>
      <c r="AAZ165" s="65"/>
      <c r="ABA165" s="65"/>
      <c r="ABB165" s="65"/>
      <c r="ABC165" s="65"/>
      <c r="ABD165" s="65"/>
      <c r="ABE165" s="65"/>
      <c r="ABF165" s="65"/>
      <c r="ABG165" s="65"/>
      <c r="ABH165" s="65"/>
      <c r="ABI165" s="65"/>
      <c r="ABJ165" s="65"/>
      <c r="ABK165" s="65"/>
      <c r="ABL165" s="65"/>
      <c r="ABM165" s="65"/>
      <c r="ABN165" s="65"/>
      <c r="ABO165" s="65"/>
      <c r="ABP165" s="65"/>
      <c r="ABQ165" s="65"/>
      <c r="ABR165" s="65"/>
      <c r="ABS165" s="65"/>
      <c r="ABT165" s="65"/>
      <c r="ABU165" s="65"/>
      <c r="ABV165" s="65"/>
      <c r="ABW165" s="65"/>
      <c r="ABX165" s="65"/>
      <c r="ABY165" s="65"/>
      <c r="ABZ165" s="65"/>
      <c r="ACA165" s="65"/>
      <c r="ACB165" s="65"/>
      <c r="ACC165" s="65"/>
      <c r="ACD165" s="65"/>
      <c r="ACE165" s="65"/>
      <c r="ACF165" s="65"/>
      <c r="ACG165" s="65"/>
      <c r="ACH165" s="65"/>
      <c r="ACI165" s="65"/>
      <c r="ACJ165" s="65"/>
      <c r="ACK165" s="65"/>
      <c r="ACL165" s="65"/>
      <c r="ACM165" s="65"/>
      <c r="ACN165" s="65"/>
      <c r="ACO165" s="65"/>
      <c r="ACP165" s="65"/>
      <c r="ACQ165" s="65"/>
      <c r="ACR165" s="65"/>
      <c r="ACS165" s="65"/>
      <c r="ACT165" s="65"/>
      <c r="ACU165" s="65"/>
      <c r="ACV165" s="65"/>
      <c r="ACW165" s="65"/>
      <c r="ACX165" s="65"/>
      <c r="ACY165" s="65"/>
      <c r="ACZ165" s="65"/>
      <c r="ADA165" s="65"/>
      <c r="ADB165" s="65"/>
      <c r="ADC165" s="65"/>
      <c r="ADD165" s="65"/>
      <c r="ADE165" s="65"/>
      <c r="ADF165" s="65"/>
      <c r="ADG165" s="65"/>
      <c r="ADH165" s="65"/>
      <c r="ADI165" s="65"/>
      <c r="ADJ165" s="65"/>
      <c r="ADK165" s="65"/>
      <c r="ADL165" s="65"/>
      <c r="ADM165" s="65"/>
      <c r="ADN165" s="65"/>
      <c r="ADO165" s="65"/>
      <c r="ADP165" s="65"/>
      <c r="ADQ165" s="65"/>
      <c r="ADR165" s="65"/>
      <c r="ADS165" s="65"/>
      <c r="ADT165" s="65"/>
      <c r="ADU165" s="65"/>
      <c r="ADV165" s="65"/>
      <c r="ADW165" s="65"/>
      <c r="ADX165" s="65"/>
      <c r="ADY165" s="65"/>
      <c r="ADZ165" s="65"/>
      <c r="AEA165" s="65"/>
      <c r="AEB165" s="65"/>
      <c r="AEC165" s="65"/>
      <c r="AED165" s="65"/>
      <c r="AEE165" s="65"/>
      <c r="AEF165" s="65"/>
      <c r="AEG165" s="65"/>
      <c r="AEH165" s="65"/>
      <c r="AEI165" s="65"/>
      <c r="AEJ165" s="65"/>
      <c r="AEK165" s="65"/>
      <c r="AEL165" s="65"/>
      <c r="AEM165" s="65"/>
      <c r="AEN165" s="65"/>
      <c r="AEO165" s="65"/>
      <c r="AEP165" s="65"/>
      <c r="AEQ165" s="65"/>
      <c r="AER165" s="65"/>
      <c r="AES165" s="65"/>
      <c r="AET165" s="65"/>
      <c r="AEU165" s="65"/>
      <c r="AEV165" s="65"/>
      <c r="AEW165" s="65"/>
      <c r="AEX165" s="65"/>
      <c r="AEY165" s="65"/>
      <c r="AEZ165" s="65"/>
      <c r="AFA165" s="65"/>
      <c r="AFB165" s="65"/>
      <c r="AFC165" s="65"/>
      <c r="AFD165" s="65"/>
      <c r="AFE165" s="65"/>
      <c r="AFF165" s="65"/>
      <c r="AFG165" s="65"/>
      <c r="AFH165" s="65"/>
      <c r="AFI165" s="65"/>
      <c r="AFJ165" s="65"/>
      <c r="AFK165" s="65"/>
      <c r="AFL165" s="65"/>
      <c r="AFM165" s="65"/>
      <c r="AFN165" s="65"/>
      <c r="AFO165" s="65"/>
      <c r="AFP165" s="65"/>
      <c r="AFQ165" s="65"/>
      <c r="AFR165" s="65"/>
      <c r="AFS165" s="65"/>
      <c r="AFT165" s="65"/>
      <c r="AFU165" s="65"/>
      <c r="AFV165" s="65"/>
      <c r="AFW165" s="65"/>
      <c r="AFX165" s="65"/>
      <c r="AFY165" s="65"/>
      <c r="AFZ165" s="65"/>
      <c r="AGA165" s="65"/>
      <c r="AGB165" s="65"/>
      <c r="AGC165" s="65"/>
      <c r="AGD165" s="65"/>
      <c r="AGE165" s="65"/>
      <c r="AGF165" s="65"/>
      <c r="AGG165" s="65"/>
      <c r="AGH165" s="65"/>
      <c r="AGI165" s="65"/>
      <c r="AGJ165" s="65"/>
      <c r="AGK165" s="65"/>
      <c r="AGL165" s="65"/>
      <c r="AGM165" s="65"/>
      <c r="AGN165" s="65"/>
      <c r="AGO165" s="65"/>
      <c r="AGP165" s="65"/>
      <c r="AGQ165" s="65"/>
      <c r="AGR165" s="65"/>
      <c r="AGS165" s="65"/>
      <c r="AGT165" s="65"/>
      <c r="AGU165" s="65"/>
      <c r="AGV165" s="65"/>
      <c r="AGW165" s="65"/>
      <c r="AGX165" s="65"/>
      <c r="AGY165" s="65"/>
      <c r="AGZ165" s="65"/>
      <c r="AHA165" s="65"/>
      <c r="AHB165" s="65"/>
      <c r="AHC165" s="65"/>
      <c r="AHD165" s="65"/>
      <c r="AHE165" s="65"/>
      <c r="AHF165" s="65"/>
      <c r="AHG165" s="65"/>
      <c r="AHH165" s="65"/>
      <c r="AHI165" s="65"/>
      <c r="AHJ165" s="65"/>
      <c r="AHK165" s="65"/>
      <c r="AHL165" s="65"/>
      <c r="AHM165" s="65"/>
      <c r="AHN165" s="65"/>
      <c r="AHO165" s="65"/>
      <c r="AHP165" s="65"/>
      <c r="AHQ165" s="65"/>
      <c r="AHR165" s="65"/>
      <c r="AHS165" s="65"/>
      <c r="AHT165" s="65"/>
      <c r="AHU165" s="65"/>
      <c r="AHV165" s="65"/>
      <c r="AHW165" s="65"/>
      <c r="AHX165" s="65"/>
      <c r="AHY165" s="65"/>
      <c r="AHZ165" s="65"/>
      <c r="AIA165" s="65"/>
      <c r="AIB165" s="65"/>
      <c r="AIC165" s="65"/>
      <c r="AID165" s="65"/>
      <c r="AIE165" s="65"/>
      <c r="AIF165" s="65"/>
      <c r="AIG165" s="65"/>
      <c r="AIH165" s="65"/>
      <c r="AII165" s="65"/>
      <c r="AIJ165" s="65"/>
      <c r="AIK165" s="65"/>
      <c r="AIL165" s="65"/>
      <c r="AIM165" s="65"/>
      <c r="AIN165" s="65"/>
      <c r="AIO165" s="65"/>
      <c r="AIP165" s="65"/>
      <c r="AIQ165" s="65"/>
      <c r="AIR165" s="65"/>
      <c r="AIS165" s="65"/>
      <c r="AIT165" s="65"/>
      <c r="AIU165" s="65"/>
      <c r="AIV165" s="65"/>
      <c r="AIW165" s="65"/>
      <c r="AIX165" s="65"/>
      <c r="AIY165" s="65"/>
      <c r="AIZ165" s="65"/>
      <c r="AJA165" s="65"/>
      <c r="AJB165" s="65"/>
      <c r="AJC165" s="65"/>
      <c r="AJD165" s="65"/>
      <c r="AJE165" s="65"/>
      <c r="AJF165" s="65"/>
      <c r="AJG165" s="65"/>
      <c r="AJH165" s="65"/>
      <c r="AJI165" s="65"/>
      <c r="AJJ165" s="65"/>
      <c r="AJK165" s="65"/>
      <c r="AJL165" s="65"/>
      <c r="AJM165" s="65"/>
      <c r="AJN165" s="65"/>
      <c r="AJO165" s="65"/>
      <c r="AJP165" s="65"/>
      <c r="AJQ165" s="65"/>
      <c r="AJR165" s="65"/>
      <c r="AJS165" s="65"/>
      <c r="AJT165" s="65"/>
      <c r="AJU165" s="65"/>
      <c r="AJV165" s="65"/>
      <c r="AJW165" s="65"/>
      <c r="AJX165" s="65"/>
      <c r="AJY165" s="65"/>
      <c r="AJZ165" s="65"/>
      <c r="AKA165" s="65"/>
      <c r="AKB165" s="65"/>
      <c r="AKC165" s="65"/>
      <c r="AKD165" s="65"/>
      <c r="AKE165" s="65"/>
      <c r="AKF165" s="65"/>
      <c r="AKG165" s="65"/>
      <c r="AKH165" s="65"/>
      <c r="AKI165" s="65"/>
      <c r="AKJ165" s="65"/>
      <c r="AKK165" s="65"/>
      <c r="AKL165" s="65"/>
      <c r="AKM165" s="65"/>
      <c r="AKN165" s="65"/>
      <c r="AKO165" s="65"/>
      <c r="AKP165" s="65"/>
      <c r="AKQ165" s="65"/>
      <c r="AKR165" s="65"/>
      <c r="AKS165" s="65"/>
      <c r="AKT165" s="65"/>
      <c r="AKU165" s="65"/>
      <c r="AKV165" s="65"/>
      <c r="AKW165" s="65"/>
      <c r="AKX165" s="65"/>
      <c r="AKY165" s="65"/>
      <c r="AKZ165" s="65"/>
      <c r="ALA165" s="65"/>
      <c r="ALB165" s="65"/>
      <c r="ALC165" s="65"/>
      <c r="ALD165" s="65"/>
      <c r="ALE165" s="65"/>
      <c r="ALF165" s="65"/>
      <c r="ALG165" s="65"/>
      <c r="ALH165" s="65"/>
      <c r="ALI165" s="65"/>
      <c r="ALJ165" s="65"/>
      <c r="ALK165" s="65"/>
      <c r="ALL165" s="65"/>
      <c r="ALM165" s="65"/>
      <c r="ALN165" s="65"/>
      <c r="ALO165" s="65"/>
      <c r="ALP165" s="65"/>
      <c r="ALQ165" s="65"/>
      <c r="ALR165" s="65"/>
      <c r="ALS165" s="65"/>
      <c r="ALT165" s="65"/>
      <c r="ALU165" s="65"/>
      <c r="ALV165" s="65"/>
      <c r="ALW165" s="65"/>
      <c r="ALX165" s="65"/>
      <c r="ALY165" s="65"/>
      <c r="ALZ165" s="65"/>
      <c r="AMA165" s="65"/>
      <c r="AMB165" s="65"/>
      <c r="AMC165" s="65"/>
      <c r="AMD165" s="65"/>
      <c r="AME165" s="65"/>
      <c r="AMF165" s="65"/>
      <c r="AMG165" s="65"/>
      <c r="AMH165" s="65"/>
      <c r="AMI165" s="65"/>
      <c r="AMJ165" s="65"/>
      <c r="AMK165" s="65"/>
    </row>
    <row r="166" spans="1:1025" x14ac:dyDescent="0.2">
      <c r="A166" s="279" t="s">
        <v>241</v>
      </c>
      <c r="B166" s="279"/>
      <c r="C166" s="279"/>
      <c r="D166" s="279"/>
      <c r="E166" s="279"/>
      <c r="F166" s="279"/>
      <c r="G166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5"/>
      <c r="IT166" s="65"/>
      <c r="IU166" s="65"/>
      <c r="IV166" s="65"/>
      <c r="IW166" s="65"/>
      <c r="IX166" s="65"/>
      <c r="IY166" s="65"/>
      <c r="IZ166" s="65"/>
      <c r="JA166" s="65"/>
      <c r="JB166" s="65"/>
      <c r="JC166" s="65"/>
      <c r="JD166" s="65"/>
      <c r="JE166" s="65"/>
      <c r="JF166" s="65"/>
      <c r="JG166" s="65"/>
      <c r="JH166" s="65"/>
      <c r="JI166" s="65"/>
      <c r="JJ166" s="65"/>
      <c r="JK166" s="65"/>
      <c r="JL166" s="65"/>
      <c r="JM166" s="65"/>
      <c r="JN166" s="65"/>
      <c r="JO166" s="65"/>
      <c r="JP166" s="65"/>
      <c r="JQ166" s="65"/>
      <c r="JR166" s="65"/>
      <c r="JS166" s="65"/>
      <c r="JT166" s="65"/>
      <c r="JU166" s="65"/>
      <c r="JV166" s="65"/>
      <c r="JW166" s="65"/>
      <c r="JX166" s="65"/>
      <c r="JY166" s="65"/>
      <c r="JZ166" s="65"/>
      <c r="KA166" s="65"/>
      <c r="KB166" s="65"/>
      <c r="KC166" s="65"/>
      <c r="KD166" s="65"/>
      <c r="KE166" s="65"/>
      <c r="KF166" s="65"/>
      <c r="KG166" s="65"/>
      <c r="KH166" s="65"/>
      <c r="KI166" s="65"/>
      <c r="KJ166" s="65"/>
      <c r="KK166" s="65"/>
      <c r="KL166" s="65"/>
      <c r="KM166" s="65"/>
      <c r="KN166" s="65"/>
      <c r="KO166" s="65"/>
      <c r="KP166" s="65"/>
      <c r="KQ166" s="65"/>
      <c r="KR166" s="65"/>
      <c r="KS166" s="65"/>
      <c r="KT166" s="65"/>
      <c r="KU166" s="65"/>
      <c r="KV166" s="65"/>
      <c r="KW166" s="65"/>
      <c r="KX166" s="65"/>
      <c r="KY166" s="65"/>
      <c r="KZ166" s="65"/>
      <c r="LA166" s="65"/>
      <c r="LB166" s="65"/>
      <c r="LC166" s="65"/>
      <c r="LD166" s="65"/>
      <c r="LE166" s="65"/>
      <c r="LF166" s="65"/>
      <c r="LG166" s="65"/>
      <c r="LH166" s="65"/>
      <c r="LI166" s="65"/>
      <c r="LJ166" s="65"/>
      <c r="LK166" s="65"/>
      <c r="LL166" s="65"/>
      <c r="LM166" s="65"/>
      <c r="LN166" s="65"/>
      <c r="LO166" s="65"/>
      <c r="LP166" s="65"/>
      <c r="LQ166" s="65"/>
      <c r="LR166" s="65"/>
      <c r="LS166" s="65"/>
      <c r="LT166" s="65"/>
      <c r="LU166" s="65"/>
      <c r="LV166" s="65"/>
      <c r="LW166" s="65"/>
      <c r="LX166" s="65"/>
      <c r="LY166" s="65"/>
      <c r="LZ166" s="65"/>
      <c r="MA166" s="65"/>
      <c r="MB166" s="65"/>
      <c r="MC166" s="65"/>
      <c r="MD166" s="65"/>
      <c r="ME166" s="65"/>
      <c r="MF166" s="65"/>
      <c r="MG166" s="65"/>
      <c r="MH166" s="65"/>
      <c r="MI166" s="65"/>
      <c r="MJ166" s="65"/>
      <c r="MK166" s="65"/>
      <c r="ML166" s="65"/>
      <c r="MM166" s="65"/>
      <c r="MN166" s="65"/>
      <c r="MO166" s="65"/>
      <c r="MP166" s="65"/>
      <c r="MQ166" s="65"/>
      <c r="MR166" s="65"/>
      <c r="MS166" s="65"/>
      <c r="MT166" s="65"/>
      <c r="MU166" s="65"/>
      <c r="MV166" s="65"/>
      <c r="MW166" s="65"/>
      <c r="MX166" s="65"/>
      <c r="MY166" s="65"/>
      <c r="MZ166" s="65"/>
      <c r="NA166" s="65"/>
      <c r="NB166" s="65"/>
      <c r="NC166" s="65"/>
      <c r="ND166" s="65"/>
      <c r="NE166" s="65"/>
      <c r="NF166" s="65"/>
      <c r="NG166" s="65"/>
      <c r="NH166" s="65"/>
      <c r="NI166" s="65"/>
      <c r="NJ166" s="65"/>
      <c r="NK166" s="65"/>
      <c r="NL166" s="65"/>
      <c r="NM166" s="65"/>
      <c r="NN166" s="65"/>
      <c r="NO166" s="65"/>
      <c r="NP166" s="65"/>
      <c r="NQ166" s="65"/>
      <c r="NR166" s="65"/>
      <c r="NS166" s="65"/>
      <c r="NT166" s="65"/>
      <c r="NU166" s="65"/>
      <c r="NV166" s="65"/>
      <c r="NW166" s="65"/>
      <c r="NX166" s="65"/>
      <c r="NY166" s="65"/>
      <c r="NZ166" s="65"/>
      <c r="OA166" s="65"/>
      <c r="OB166" s="65"/>
      <c r="OC166" s="65"/>
      <c r="OD166" s="65"/>
      <c r="OE166" s="65"/>
      <c r="OF166" s="65"/>
      <c r="OG166" s="65"/>
      <c r="OH166" s="65"/>
      <c r="OI166" s="65"/>
      <c r="OJ166" s="65"/>
      <c r="OK166" s="65"/>
      <c r="OL166" s="65"/>
      <c r="OM166" s="65"/>
      <c r="ON166" s="65"/>
      <c r="OO166" s="65"/>
      <c r="OP166" s="65"/>
      <c r="OQ166" s="65"/>
      <c r="OR166" s="65"/>
      <c r="OS166" s="65"/>
      <c r="OT166" s="65"/>
      <c r="OU166" s="65"/>
      <c r="OV166" s="65"/>
      <c r="OW166" s="65"/>
      <c r="OX166" s="65"/>
      <c r="OY166" s="65"/>
      <c r="OZ166" s="65"/>
      <c r="PA166" s="65"/>
      <c r="PB166" s="65"/>
      <c r="PC166" s="65"/>
      <c r="PD166" s="65"/>
      <c r="PE166" s="65"/>
      <c r="PF166" s="65"/>
      <c r="PG166" s="65"/>
      <c r="PH166" s="65"/>
      <c r="PI166" s="65"/>
      <c r="PJ166" s="65"/>
      <c r="PK166" s="65"/>
      <c r="PL166" s="65"/>
      <c r="PM166" s="65"/>
      <c r="PN166" s="65"/>
      <c r="PO166" s="65"/>
      <c r="PP166" s="65"/>
      <c r="PQ166" s="65"/>
      <c r="PR166" s="65"/>
      <c r="PS166" s="65"/>
      <c r="PT166" s="65"/>
      <c r="PU166" s="65"/>
      <c r="PV166" s="65"/>
      <c r="PW166" s="65"/>
      <c r="PX166" s="65"/>
      <c r="PY166" s="65"/>
      <c r="PZ166" s="65"/>
      <c r="QA166" s="65"/>
      <c r="QB166" s="65"/>
      <c r="QC166" s="65"/>
      <c r="QD166" s="65"/>
      <c r="QE166" s="65"/>
      <c r="QF166" s="65"/>
      <c r="QG166" s="65"/>
      <c r="QH166" s="65"/>
      <c r="QI166" s="65"/>
      <c r="QJ166" s="65"/>
      <c r="QK166" s="65"/>
      <c r="QL166" s="65"/>
      <c r="QM166" s="65"/>
      <c r="QN166" s="65"/>
      <c r="QO166" s="65"/>
      <c r="QP166" s="65"/>
      <c r="QQ166" s="65"/>
      <c r="QR166" s="65"/>
      <c r="QS166" s="65"/>
      <c r="QT166" s="65"/>
      <c r="QU166" s="65"/>
      <c r="QV166" s="65"/>
      <c r="QW166" s="65"/>
      <c r="QX166" s="65"/>
      <c r="QY166" s="65"/>
      <c r="QZ166" s="65"/>
      <c r="RA166" s="65"/>
      <c r="RB166" s="65"/>
      <c r="RC166" s="65"/>
      <c r="RD166" s="65"/>
      <c r="RE166" s="65"/>
      <c r="RF166" s="65"/>
      <c r="RG166" s="65"/>
      <c r="RH166" s="65"/>
      <c r="RI166" s="65"/>
      <c r="RJ166" s="65"/>
      <c r="RK166" s="65"/>
      <c r="RL166" s="65"/>
      <c r="RM166" s="65"/>
      <c r="RN166" s="65"/>
      <c r="RO166" s="65"/>
      <c r="RP166" s="65"/>
      <c r="RQ166" s="65"/>
      <c r="RR166" s="65"/>
      <c r="RS166" s="65"/>
      <c r="RT166" s="65"/>
      <c r="RU166" s="65"/>
      <c r="RV166" s="65"/>
      <c r="RW166" s="65"/>
      <c r="RX166" s="65"/>
      <c r="RY166" s="65"/>
      <c r="RZ166" s="65"/>
      <c r="SA166" s="65"/>
      <c r="SB166" s="65"/>
      <c r="SC166" s="65"/>
      <c r="SD166" s="65"/>
      <c r="SE166" s="65"/>
      <c r="SF166" s="65"/>
      <c r="SG166" s="65"/>
      <c r="SH166" s="65"/>
      <c r="SI166" s="65"/>
      <c r="SJ166" s="65"/>
      <c r="SK166" s="65"/>
      <c r="SL166" s="65"/>
      <c r="SM166" s="65"/>
      <c r="SN166" s="65"/>
      <c r="SO166" s="65"/>
      <c r="SP166" s="65"/>
      <c r="SQ166" s="65"/>
      <c r="SR166" s="65"/>
      <c r="SS166" s="65"/>
      <c r="ST166" s="65"/>
      <c r="SU166" s="65"/>
      <c r="SV166" s="65"/>
      <c r="SW166" s="65"/>
      <c r="SX166" s="65"/>
      <c r="SY166" s="65"/>
      <c r="SZ166" s="65"/>
      <c r="TA166" s="65"/>
      <c r="TB166" s="65"/>
      <c r="TC166" s="65"/>
      <c r="TD166" s="65"/>
      <c r="TE166" s="65"/>
      <c r="TF166" s="65"/>
      <c r="TG166" s="65"/>
      <c r="TH166" s="65"/>
      <c r="TI166" s="65"/>
      <c r="TJ166" s="65"/>
      <c r="TK166" s="65"/>
      <c r="TL166" s="65"/>
      <c r="TM166" s="65"/>
      <c r="TN166" s="65"/>
      <c r="TO166" s="65"/>
      <c r="TP166" s="65"/>
      <c r="TQ166" s="65"/>
      <c r="TR166" s="65"/>
      <c r="TS166" s="65"/>
      <c r="TT166" s="65"/>
      <c r="TU166" s="65"/>
      <c r="TV166" s="65"/>
      <c r="TW166" s="65"/>
      <c r="TX166" s="65"/>
      <c r="TY166" s="65"/>
      <c r="TZ166" s="65"/>
      <c r="UA166" s="65"/>
      <c r="UB166" s="65"/>
      <c r="UC166" s="65"/>
      <c r="UD166" s="65"/>
      <c r="UE166" s="65"/>
      <c r="UF166" s="65"/>
      <c r="UG166" s="65"/>
      <c r="UH166" s="65"/>
      <c r="UI166" s="65"/>
      <c r="UJ166" s="65"/>
      <c r="UK166" s="65"/>
      <c r="UL166" s="65"/>
      <c r="UM166" s="65"/>
      <c r="UN166" s="65"/>
      <c r="UO166" s="65"/>
      <c r="UP166" s="65"/>
      <c r="UQ166" s="65"/>
      <c r="UR166" s="65"/>
      <c r="US166" s="65"/>
      <c r="UT166" s="65"/>
      <c r="UU166" s="65"/>
      <c r="UV166" s="65"/>
      <c r="UW166" s="65"/>
      <c r="UX166" s="65"/>
      <c r="UY166" s="65"/>
      <c r="UZ166" s="65"/>
      <c r="VA166" s="65"/>
      <c r="VB166" s="65"/>
      <c r="VC166" s="65"/>
      <c r="VD166" s="65"/>
      <c r="VE166" s="65"/>
      <c r="VF166" s="65"/>
      <c r="VG166" s="65"/>
      <c r="VH166" s="65"/>
      <c r="VI166" s="65"/>
      <c r="VJ166" s="65"/>
      <c r="VK166" s="65"/>
      <c r="VL166" s="65"/>
      <c r="VM166" s="65"/>
      <c r="VN166" s="65"/>
      <c r="VO166" s="65"/>
      <c r="VP166" s="65"/>
      <c r="VQ166" s="65"/>
      <c r="VR166" s="65"/>
      <c r="VS166" s="65"/>
      <c r="VT166" s="65"/>
      <c r="VU166" s="65"/>
      <c r="VV166" s="65"/>
      <c r="VW166" s="65"/>
      <c r="VX166" s="65"/>
      <c r="VY166" s="65"/>
      <c r="VZ166" s="65"/>
      <c r="WA166" s="65"/>
      <c r="WB166" s="65"/>
      <c r="WC166" s="65"/>
      <c r="WD166" s="65"/>
      <c r="WE166" s="65"/>
      <c r="WF166" s="65"/>
      <c r="WG166" s="65"/>
      <c r="WH166" s="65"/>
      <c r="WI166" s="65"/>
      <c r="WJ166" s="65"/>
      <c r="WK166" s="65"/>
      <c r="WL166" s="65"/>
      <c r="WM166" s="65"/>
      <c r="WN166" s="65"/>
      <c r="WO166" s="65"/>
      <c r="WP166" s="65"/>
      <c r="WQ166" s="65"/>
      <c r="WR166" s="65"/>
      <c r="WS166" s="65"/>
      <c r="WT166" s="65"/>
      <c r="WU166" s="65"/>
      <c r="WV166" s="65"/>
      <c r="WW166" s="65"/>
      <c r="WX166" s="65"/>
      <c r="WY166" s="65"/>
      <c r="WZ166" s="65"/>
      <c r="XA166" s="65"/>
      <c r="XB166" s="65"/>
      <c r="XC166" s="65"/>
      <c r="XD166" s="65"/>
      <c r="XE166" s="65"/>
      <c r="XF166" s="65"/>
      <c r="XG166" s="65"/>
      <c r="XH166" s="65"/>
      <c r="XI166" s="65"/>
      <c r="XJ166" s="65"/>
      <c r="XK166" s="65"/>
      <c r="XL166" s="65"/>
      <c r="XM166" s="65"/>
      <c r="XN166" s="65"/>
      <c r="XO166" s="65"/>
      <c r="XP166" s="65"/>
      <c r="XQ166" s="65"/>
      <c r="XR166" s="65"/>
      <c r="XS166" s="65"/>
      <c r="XT166" s="65"/>
      <c r="XU166" s="65"/>
      <c r="XV166" s="65"/>
      <c r="XW166" s="65"/>
      <c r="XX166" s="65"/>
      <c r="XY166" s="65"/>
      <c r="XZ166" s="65"/>
      <c r="YA166" s="65"/>
      <c r="YB166" s="65"/>
      <c r="YC166" s="65"/>
      <c r="YD166" s="65"/>
      <c r="YE166" s="65"/>
      <c r="YF166" s="65"/>
      <c r="YG166" s="65"/>
      <c r="YH166" s="65"/>
      <c r="YI166" s="65"/>
      <c r="YJ166" s="65"/>
      <c r="YK166" s="65"/>
      <c r="YL166" s="65"/>
      <c r="YM166" s="65"/>
      <c r="YN166" s="65"/>
      <c r="YO166" s="65"/>
      <c r="YP166" s="65"/>
      <c r="YQ166" s="65"/>
      <c r="YR166" s="65"/>
      <c r="YS166" s="65"/>
      <c r="YT166" s="65"/>
      <c r="YU166" s="65"/>
      <c r="YV166" s="65"/>
      <c r="YW166" s="65"/>
      <c r="YX166" s="65"/>
      <c r="YY166" s="65"/>
      <c r="YZ166" s="65"/>
      <c r="ZA166" s="65"/>
      <c r="ZB166" s="65"/>
      <c r="ZC166" s="65"/>
      <c r="ZD166" s="65"/>
      <c r="ZE166" s="65"/>
      <c r="ZF166" s="65"/>
      <c r="ZG166" s="65"/>
      <c r="ZH166" s="65"/>
      <c r="ZI166" s="65"/>
      <c r="ZJ166" s="65"/>
      <c r="ZK166" s="65"/>
      <c r="ZL166" s="65"/>
      <c r="ZM166" s="65"/>
      <c r="ZN166" s="65"/>
      <c r="ZO166" s="65"/>
      <c r="ZP166" s="65"/>
      <c r="ZQ166" s="65"/>
      <c r="ZR166" s="65"/>
      <c r="ZS166" s="65"/>
      <c r="ZT166" s="65"/>
      <c r="ZU166" s="65"/>
      <c r="ZV166" s="65"/>
      <c r="ZW166" s="65"/>
      <c r="ZX166" s="65"/>
      <c r="ZY166" s="65"/>
      <c r="ZZ166" s="65"/>
      <c r="AAA166" s="65"/>
      <c r="AAB166" s="65"/>
      <c r="AAC166" s="65"/>
      <c r="AAD166" s="65"/>
      <c r="AAE166" s="65"/>
      <c r="AAF166" s="65"/>
      <c r="AAG166" s="65"/>
      <c r="AAH166" s="65"/>
      <c r="AAI166" s="65"/>
      <c r="AAJ166" s="65"/>
      <c r="AAK166" s="65"/>
      <c r="AAL166" s="65"/>
      <c r="AAM166" s="65"/>
      <c r="AAN166" s="65"/>
      <c r="AAO166" s="65"/>
      <c r="AAP166" s="65"/>
      <c r="AAQ166" s="65"/>
      <c r="AAR166" s="65"/>
      <c r="AAS166" s="65"/>
      <c r="AAT166" s="65"/>
      <c r="AAU166" s="65"/>
      <c r="AAV166" s="65"/>
      <c r="AAW166" s="65"/>
      <c r="AAX166" s="65"/>
      <c r="AAY166" s="65"/>
      <c r="AAZ166" s="65"/>
      <c r="ABA166" s="65"/>
      <c r="ABB166" s="65"/>
      <c r="ABC166" s="65"/>
      <c r="ABD166" s="65"/>
      <c r="ABE166" s="65"/>
      <c r="ABF166" s="65"/>
      <c r="ABG166" s="65"/>
      <c r="ABH166" s="65"/>
      <c r="ABI166" s="65"/>
      <c r="ABJ166" s="65"/>
      <c r="ABK166" s="65"/>
      <c r="ABL166" s="65"/>
      <c r="ABM166" s="65"/>
      <c r="ABN166" s="65"/>
      <c r="ABO166" s="65"/>
      <c r="ABP166" s="65"/>
      <c r="ABQ166" s="65"/>
      <c r="ABR166" s="65"/>
      <c r="ABS166" s="65"/>
      <c r="ABT166" s="65"/>
      <c r="ABU166" s="65"/>
      <c r="ABV166" s="65"/>
      <c r="ABW166" s="65"/>
      <c r="ABX166" s="65"/>
      <c r="ABY166" s="65"/>
      <c r="ABZ166" s="65"/>
      <c r="ACA166" s="65"/>
      <c r="ACB166" s="65"/>
      <c r="ACC166" s="65"/>
      <c r="ACD166" s="65"/>
      <c r="ACE166" s="65"/>
      <c r="ACF166" s="65"/>
      <c r="ACG166" s="65"/>
      <c r="ACH166" s="65"/>
      <c r="ACI166" s="65"/>
      <c r="ACJ166" s="65"/>
      <c r="ACK166" s="65"/>
      <c r="ACL166" s="65"/>
      <c r="ACM166" s="65"/>
      <c r="ACN166" s="65"/>
      <c r="ACO166" s="65"/>
      <c r="ACP166" s="65"/>
      <c r="ACQ166" s="65"/>
      <c r="ACR166" s="65"/>
      <c r="ACS166" s="65"/>
      <c r="ACT166" s="65"/>
      <c r="ACU166" s="65"/>
      <c r="ACV166" s="65"/>
      <c r="ACW166" s="65"/>
      <c r="ACX166" s="65"/>
      <c r="ACY166" s="65"/>
      <c r="ACZ166" s="65"/>
      <c r="ADA166" s="65"/>
      <c r="ADB166" s="65"/>
      <c r="ADC166" s="65"/>
      <c r="ADD166" s="65"/>
      <c r="ADE166" s="65"/>
      <c r="ADF166" s="65"/>
      <c r="ADG166" s="65"/>
      <c r="ADH166" s="65"/>
      <c r="ADI166" s="65"/>
      <c r="ADJ166" s="65"/>
      <c r="ADK166" s="65"/>
      <c r="ADL166" s="65"/>
      <c r="ADM166" s="65"/>
      <c r="ADN166" s="65"/>
      <c r="ADO166" s="65"/>
      <c r="ADP166" s="65"/>
      <c r="ADQ166" s="65"/>
      <c r="ADR166" s="65"/>
      <c r="ADS166" s="65"/>
      <c r="ADT166" s="65"/>
      <c r="ADU166" s="65"/>
      <c r="ADV166" s="65"/>
      <c r="ADW166" s="65"/>
      <c r="ADX166" s="65"/>
      <c r="ADY166" s="65"/>
      <c r="ADZ166" s="65"/>
      <c r="AEA166" s="65"/>
      <c r="AEB166" s="65"/>
      <c r="AEC166" s="65"/>
      <c r="AED166" s="65"/>
      <c r="AEE166" s="65"/>
      <c r="AEF166" s="65"/>
      <c r="AEG166" s="65"/>
      <c r="AEH166" s="65"/>
      <c r="AEI166" s="65"/>
      <c r="AEJ166" s="65"/>
      <c r="AEK166" s="65"/>
      <c r="AEL166" s="65"/>
      <c r="AEM166" s="65"/>
      <c r="AEN166" s="65"/>
      <c r="AEO166" s="65"/>
      <c r="AEP166" s="65"/>
      <c r="AEQ166" s="65"/>
      <c r="AER166" s="65"/>
      <c r="AES166" s="65"/>
      <c r="AET166" s="65"/>
      <c r="AEU166" s="65"/>
      <c r="AEV166" s="65"/>
      <c r="AEW166" s="65"/>
      <c r="AEX166" s="65"/>
      <c r="AEY166" s="65"/>
      <c r="AEZ166" s="65"/>
      <c r="AFA166" s="65"/>
      <c r="AFB166" s="65"/>
      <c r="AFC166" s="65"/>
      <c r="AFD166" s="65"/>
      <c r="AFE166" s="65"/>
      <c r="AFF166" s="65"/>
      <c r="AFG166" s="65"/>
      <c r="AFH166" s="65"/>
      <c r="AFI166" s="65"/>
      <c r="AFJ166" s="65"/>
      <c r="AFK166" s="65"/>
      <c r="AFL166" s="65"/>
      <c r="AFM166" s="65"/>
      <c r="AFN166" s="65"/>
      <c r="AFO166" s="65"/>
      <c r="AFP166" s="65"/>
      <c r="AFQ166" s="65"/>
      <c r="AFR166" s="65"/>
      <c r="AFS166" s="65"/>
      <c r="AFT166" s="65"/>
      <c r="AFU166" s="65"/>
      <c r="AFV166" s="65"/>
      <c r="AFW166" s="65"/>
      <c r="AFX166" s="65"/>
      <c r="AFY166" s="65"/>
      <c r="AFZ166" s="65"/>
      <c r="AGA166" s="65"/>
      <c r="AGB166" s="65"/>
      <c r="AGC166" s="65"/>
      <c r="AGD166" s="65"/>
      <c r="AGE166" s="65"/>
      <c r="AGF166" s="65"/>
      <c r="AGG166" s="65"/>
      <c r="AGH166" s="65"/>
      <c r="AGI166" s="65"/>
      <c r="AGJ166" s="65"/>
      <c r="AGK166" s="65"/>
      <c r="AGL166" s="65"/>
      <c r="AGM166" s="65"/>
      <c r="AGN166" s="65"/>
      <c r="AGO166" s="65"/>
      <c r="AGP166" s="65"/>
      <c r="AGQ166" s="65"/>
      <c r="AGR166" s="65"/>
      <c r="AGS166" s="65"/>
      <c r="AGT166" s="65"/>
      <c r="AGU166" s="65"/>
      <c r="AGV166" s="65"/>
      <c r="AGW166" s="65"/>
      <c r="AGX166" s="65"/>
      <c r="AGY166" s="65"/>
      <c r="AGZ166" s="65"/>
      <c r="AHA166" s="65"/>
      <c r="AHB166" s="65"/>
      <c r="AHC166" s="65"/>
      <c r="AHD166" s="65"/>
      <c r="AHE166" s="65"/>
      <c r="AHF166" s="65"/>
      <c r="AHG166" s="65"/>
      <c r="AHH166" s="65"/>
      <c r="AHI166" s="65"/>
      <c r="AHJ166" s="65"/>
      <c r="AHK166" s="65"/>
      <c r="AHL166" s="65"/>
      <c r="AHM166" s="65"/>
      <c r="AHN166" s="65"/>
      <c r="AHO166" s="65"/>
      <c r="AHP166" s="65"/>
      <c r="AHQ166" s="65"/>
      <c r="AHR166" s="65"/>
      <c r="AHS166" s="65"/>
      <c r="AHT166" s="65"/>
      <c r="AHU166" s="65"/>
      <c r="AHV166" s="65"/>
      <c r="AHW166" s="65"/>
      <c r="AHX166" s="65"/>
      <c r="AHY166" s="65"/>
      <c r="AHZ166" s="65"/>
      <c r="AIA166" s="65"/>
      <c r="AIB166" s="65"/>
      <c r="AIC166" s="65"/>
      <c r="AID166" s="65"/>
      <c r="AIE166" s="65"/>
      <c r="AIF166" s="65"/>
      <c r="AIG166" s="65"/>
      <c r="AIH166" s="65"/>
      <c r="AII166" s="65"/>
      <c r="AIJ166" s="65"/>
      <c r="AIK166" s="65"/>
      <c r="AIL166" s="65"/>
      <c r="AIM166" s="65"/>
      <c r="AIN166" s="65"/>
      <c r="AIO166" s="65"/>
      <c r="AIP166" s="65"/>
      <c r="AIQ166" s="65"/>
      <c r="AIR166" s="65"/>
      <c r="AIS166" s="65"/>
      <c r="AIT166" s="65"/>
      <c r="AIU166" s="65"/>
      <c r="AIV166" s="65"/>
      <c r="AIW166" s="65"/>
      <c r="AIX166" s="65"/>
      <c r="AIY166" s="65"/>
      <c r="AIZ166" s="65"/>
      <c r="AJA166" s="65"/>
      <c r="AJB166" s="65"/>
      <c r="AJC166" s="65"/>
      <c r="AJD166" s="65"/>
      <c r="AJE166" s="65"/>
      <c r="AJF166" s="65"/>
      <c r="AJG166" s="65"/>
      <c r="AJH166" s="65"/>
      <c r="AJI166" s="65"/>
      <c r="AJJ166" s="65"/>
      <c r="AJK166" s="65"/>
      <c r="AJL166" s="65"/>
      <c r="AJM166" s="65"/>
      <c r="AJN166" s="65"/>
      <c r="AJO166" s="65"/>
      <c r="AJP166" s="65"/>
      <c r="AJQ166" s="65"/>
      <c r="AJR166" s="65"/>
      <c r="AJS166" s="65"/>
      <c r="AJT166" s="65"/>
      <c r="AJU166" s="65"/>
      <c r="AJV166" s="65"/>
      <c r="AJW166" s="65"/>
      <c r="AJX166" s="65"/>
      <c r="AJY166" s="65"/>
      <c r="AJZ166" s="65"/>
      <c r="AKA166" s="65"/>
      <c r="AKB166" s="65"/>
      <c r="AKC166" s="65"/>
      <c r="AKD166" s="65"/>
      <c r="AKE166" s="65"/>
      <c r="AKF166" s="65"/>
      <c r="AKG166" s="65"/>
      <c r="AKH166" s="65"/>
      <c r="AKI166" s="65"/>
      <c r="AKJ166" s="65"/>
      <c r="AKK166" s="65"/>
      <c r="AKL166" s="65"/>
      <c r="AKM166" s="65"/>
      <c r="AKN166" s="65"/>
      <c r="AKO166" s="65"/>
      <c r="AKP166" s="65"/>
      <c r="AKQ166" s="65"/>
      <c r="AKR166" s="65"/>
      <c r="AKS166" s="65"/>
      <c r="AKT166" s="65"/>
      <c r="AKU166" s="65"/>
      <c r="AKV166" s="65"/>
      <c r="AKW166" s="65"/>
      <c r="AKX166" s="65"/>
      <c r="AKY166" s="65"/>
      <c r="AKZ166" s="65"/>
      <c r="ALA166" s="65"/>
      <c r="ALB166" s="65"/>
      <c r="ALC166" s="65"/>
      <c r="ALD166" s="65"/>
      <c r="ALE166" s="65"/>
      <c r="ALF166" s="65"/>
      <c r="ALG166" s="65"/>
      <c r="ALH166" s="65"/>
      <c r="ALI166" s="65"/>
      <c r="ALJ166" s="65"/>
      <c r="ALK166" s="65"/>
      <c r="ALL166" s="65"/>
      <c r="ALM166" s="65"/>
      <c r="ALN166" s="65"/>
      <c r="ALO166" s="65"/>
      <c r="ALP166" s="65"/>
      <c r="ALQ166" s="65"/>
      <c r="ALR166" s="65"/>
      <c r="ALS166" s="65"/>
      <c r="ALT166" s="65"/>
      <c r="ALU166" s="65"/>
      <c r="ALV166" s="65"/>
      <c r="ALW166" s="65"/>
      <c r="ALX166" s="65"/>
      <c r="ALY166" s="65"/>
      <c r="ALZ166" s="65"/>
      <c r="AMA166" s="65"/>
      <c r="AMB166" s="65"/>
      <c r="AMC166" s="65"/>
      <c r="AMD166" s="65"/>
      <c r="AME166" s="65"/>
      <c r="AMF166" s="65"/>
      <c r="AMG166" s="65"/>
      <c r="AMH166" s="65"/>
      <c r="AMI166" s="65"/>
      <c r="AMJ166" s="65"/>
      <c r="AMK166" s="65"/>
    </row>
    <row r="167" spans="1:1025" x14ac:dyDescent="0.2">
      <c r="A167" s="284" t="s">
        <v>238</v>
      </c>
      <c r="B167" s="284"/>
      <c r="C167" s="284"/>
      <c r="D167" s="284"/>
      <c r="E167" s="284"/>
      <c r="F167" s="284"/>
      <c r="G167"/>
    </row>
    <row r="179" ht="9" customHeight="1" x14ac:dyDescent="0.2"/>
  </sheetData>
  <mergeCells count="13">
    <mergeCell ref="A1:F1"/>
    <mergeCell ref="A3:F3"/>
    <mergeCell ref="A167:F167"/>
    <mergeCell ref="A4:F4"/>
    <mergeCell ref="A6:F6"/>
    <mergeCell ref="A11:C11"/>
    <mergeCell ref="A25:E25"/>
    <mergeCell ref="A163:F163"/>
    <mergeCell ref="A162:F162"/>
    <mergeCell ref="A164:F164"/>
    <mergeCell ref="A26:D26"/>
    <mergeCell ref="A30:D30"/>
    <mergeCell ref="A54:D54"/>
  </mergeCells>
  <hyperlinks>
    <hyperlink ref="A75" location="AbaDeprec" display="3.1.1. Depreciação"/>
    <hyperlink ref="A86" location="AbaRemun" display="3.1.2. Remuneração do Capital"/>
  </hyperlinks>
  <pageMargins left="0.905555555555556" right="0.51180555555555496" top="0.74791666666666701" bottom="0.74791666666666701" header="0.51180555555555496" footer="0.31527777777777799"/>
  <pageSetup paperSize="9" scale="72" firstPageNumber="0" fitToHeight="0" orientation="portrait" r:id="rId1"/>
  <headerFooter>
    <oddFooter>&amp;R&amp;P de &amp;N</oddFooter>
  </headerFooter>
  <rowBreaks count="2" manualBreakCount="2">
    <brk id="32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topLeftCell="A22" workbookViewId="0">
      <selection activeCell="C13" sqref="C13"/>
    </sheetView>
  </sheetViews>
  <sheetFormatPr defaultRowHeight="12.75" x14ac:dyDescent="0.2"/>
  <cols>
    <col min="1" max="1" width="13.42578125" style="89"/>
    <col min="2" max="2" width="42.85546875" style="89"/>
    <col min="3" max="3" width="14.28515625" style="89"/>
    <col min="4" max="4" width="36.85546875" style="126"/>
    <col min="5" max="10" width="9" style="89"/>
    <col min="11" max="11" width="10.85546875" style="89"/>
    <col min="12" max="1025" width="9" style="89"/>
  </cols>
  <sheetData>
    <row r="1" spans="1:1025" ht="15.75" x14ac:dyDescent="0.2">
      <c r="A1" s="294" t="s">
        <v>219</v>
      </c>
      <c r="B1" s="281"/>
      <c r="C1" s="281"/>
      <c r="D1"/>
      <c r="E1"/>
      <c r="F1"/>
      <c r="G1"/>
      <c r="H1"/>
      <c r="I1"/>
      <c r="J1"/>
      <c r="K1"/>
      <c r="L1"/>
    </row>
    <row r="2" spans="1:1025" x14ac:dyDescent="0.2">
      <c r="A2"/>
      <c r="B2"/>
      <c r="C2"/>
      <c r="D2"/>
      <c r="E2"/>
      <c r="F2"/>
      <c r="G2"/>
      <c r="H2"/>
      <c r="I2"/>
      <c r="J2"/>
      <c r="K2"/>
      <c r="L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8" x14ac:dyDescent="0.2">
      <c r="A3" s="292" t="s">
        <v>76</v>
      </c>
      <c r="B3" s="293"/>
      <c r="C3" s="293"/>
      <c r="D3" s="127"/>
      <c r="E3" s="127"/>
      <c r="F3" s="127"/>
      <c r="G3"/>
      <c r="H3"/>
      <c r="I3"/>
      <c r="J3"/>
      <c r="K3"/>
      <c r="L3"/>
    </row>
    <row r="4" spans="1:1025" ht="14.25" x14ac:dyDescent="0.2">
      <c r="A4" s="128" t="s">
        <v>77</v>
      </c>
      <c r="B4" s="129" t="s">
        <v>78</v>
      </c>
      <c r="C4" s="130" t="s">
        <v>79</v>
      </c>
      <c r="D4" s="131"/>
      <c r="E4"/>
      <c r="F4"/>
      <c r="G4"/>
      <c r="H4"/>
      <c r="I4"/>
      <c r="J4"/>
      <c r="K4"/>
      <c r="L4"/>
    </row>
    <row r="5" spans="1:1025" ht="14.25" x14ac:dyDescent="0.2">
      <c r="A5" s="128" t="s">
        <v>80</v>
      </c>
      <c r="B5" s="129" t="s">
        <v>81</v>
      </c>
      <c r="C5" s="132">
        <v>0.2</v>
      </c>
      <c r="D5" s="131"/>
      <c r="E5"/>
      <c r="F5" s="126"/>
      <c r="G5" s="126"/>
      <c r="H5" s="126"/>
      <c r="I5" s="126"/>
      <c r="J5" s="126"/>
      <c r="K5" s="126"/>
      <c r="L5" s="126"/>
    </row>
    <row r="6" spans="1:1025" ht="14.25" x14ac:dyDescent="0.2">
      <c r="A6" s="128" t="s">
        <v>82</v>
      </c>
      <c r="B6" s="129" t="s">
        <v>83</v>
      </c>
      <c r="C6" s="132">
        <v>1.4999999999999999E-2</v>
      </c>
      <c r="D6" s="131"/>
      <c r="E6"/>
      <c r="F6" s="126"/>
      <c r="G6" s="126"/>
      <c r="H6" s="126"/>
      <c r="I6" s="126"/>
      <c r="J6" s="126"/>
      <c r="K6" s="126"/>
      <c r="L6" s="126"/>
    </row>
    <row r="7" spans="1:1025" ht="14.25" x14ac:dyDescent="0.2">
      <c r="A7" s="128" t="s">
        <v>84</v>
      </c>
      <c r="B7" s="129" t="s">
        <v>85</v>
      </c>
      <c r="C7" s="132">
        <v>0.01</v>
      </c>
      <c r="D7" s="131"/>
      <c r="E7"/>
      <c r="F7" s="126"/>
      <c r="G7" s="126"/>
      <c r="H7" s="126"/>
      <c r="I7" s="126"/>
      <c r="J7" s="126"/>
      <c r="K7" s="126"/>
      <c r="L7" s="126"/>
    </row>
    <row r="8" spans="1:1025" ht="14.25" x14ac:dyDescent="0.2">
      <c r="A8" s="128" t="s">
        <v>86</v>
      </c>
      <c r="B8" s="129" t="s">
        <v>87</v>
      </c>
      <c r="C8" s="132">
        <v>2E-3</v>
      </c>
      <c r="D8" s="131"/>
      <c r="E8"/>
      <c r="F8" s="126"/>
      <c r="G8" s="126"/>
      <c r="H8" s="126"/>
      <c r="I8" s="126"/>
      <c r="J8" s="126"/>
      <c r="K8" s="126"/>
      <c r="L8" s="126"/>
    </row>
    <row r="9" spans="1:1025" ht="14.25" x14ac:dyDescent="0.2">
      <c r="A9" s="128" t="s">
        <v>88</v>
      </c>
      <c r="B9" s="129" t="s">
        <v>89</v>
      </c>
      <c r="C9" s="132">
        <v>6.0000000000000001E-3</v>
      </c>
      <c r="D9" s="131"/>
      <c r="E9"/>
      <c r="F9" s="126"/>
      <c r="G9" s="126"/>
      <c r="H9" s="126"/>
      <c r="I9" s="126"/>
      <c r="J9" s="126"/>
      <c r="K9" s="126"/>
      <c r="L9" s="126"/>
    </row>
    <row r="10" spans="1:1025" ht="14.25" x14ac:dyDescent="0.2">
      <c r="A10" s="128" t="s">
        <v>90</v>
      </c>
      <c r="B10" s="129" t="s">
        <v>91</v>
      </c>
      <c r="C10" s="132">
        <v>2.5000000000000001E-2</v>
      </c>
      <c r="D10" s="131"/>
      <c r="E10"/>
      <c r="F10" s="126"/>
      <c r="G10" s="126"/>
      <c r="H10" s="126"/>
      <c r="I10" s="126"/>
      <c r="J10" s="126"/>
      <c r="K10" s="126"/>
      <c r="L10" s="126"/>
    </row>
    <row r="11" spans="1:1025" ht="14.25" x14ac:dyDescent="0.2">
      <c r="A11" s="128" t="s">
        <v>92</v>
      </c>
      <c r="B11" s="129" t="s">
        <v>93</v>
      </c>
      <c r="C11" s="132">
        <v>0.03</v>
      </c>
      <c r="D11" s="131"/>
      <c r="E11"/>
      <c r="F11" s="126"/>
      <c r="G11" s="126"/>
      <c r="H11" s="126"/>
      <c r="I11" s="126"/>
      <c r="J11" s="126"/>
      <c r="K11" s="126"/>
      <c r="L11" s="126"/>
    </row>
    <row r="12" spans="1:1025" ht="14.25" x14ac:dyDescent="0.2">
      <c r="A12" s="128" t="s">
        <v>94</v>
      </c>
      <c r="B12" s="129" t="s">
        <v>95</v>
      </c>
      <c r="C12" s="132">
        <v>0.08</v>
      </c>
      <c r="D12" s="133"/>
      <c r="E12"/>
      <c r="F12" s="126"/>
      <c r="G12" s="126"/>
      <c r="H12" s="126"/>
      <c r="I12" s="126"/>
      <c r="J12" s="126"/>
      <c r="K12" s="126"/>
      <c r="L12" s="126"/>
    </row>
    <row r="13" spans="1:1025" ht="15" x14ac:dyDescent="0.2">
      <c r="A13" s="128" t="s">
        <v>96</v>
      </c>
      <c r="B13" s="134" t="s">
        <v>97</v>
      </c>
      <c r="C13" s="135">
        <f>SUM(C5:C12)</f>
        <v>0.36800000000000005</v>
      </c>
      <c r="D13" s="133"/>
      <c r="E13"/>
      <c r="F13" s="126"/>
      <c r="G13" s="126"/>
      <c r="H13" s="126"/>
      <c r="I13" s="126"/>
      <c r="J13" s="126"/>
      <c r="K13" s="126"/>
      <c r="L13" s="126"/>
    </row>
    <row r="14" spans="1:1025" ht="15" x14ac:dyDescent="0.2">
      <c r="A14" s="136"/>
      <c r="B14" s="137"/>
      <c r="C14" s="138"/>
      <c r="D14" s="133"/>
      <c r="E14"/>
      <c r="F14" s="126"/>
      <c r="G14" s="126"/>
      <c r="H14" s="126"/>
      <c r="I14" s="126"/>
      <c r="J14" s="126"/>
      <c r="K14" s="126"/>
      <c r="L14" s="126"/>
    </row>
    <row r="15" spans="1:1025" ht="14.25" x14ac:dyDescent="0.2">
      <c r="A15" s="128" t="s">
        <v>98</v>
      </c>
      <c r="B15" s="129" t="s">
        <v>99</v>
      </c>
      <c r="C15" s="132">
        <f>ROUND(IF('3.CAGED'!B31&gt;24,(1-12/'3.CAGED'!B31)*0.1111,0.1111-C24),4)</f>
        <v>0</v>
      </c>
      <c r="D15" s="133"/>
      <c r="E15"/>
      <c r="F15" s="126"/>
      <c r="G15" s="126"/>
      <c r="H15" s="126"/>
      <c r="I15" s="126"/>
      <c r="J15" s="126"/>
      <c r="K15" s="126"/>
      <c r="L15" s="126"/>
    </row>
    <row r="16" spans="1:1025" ht="14.25" x14ac:dyDescent="0.2">
      <c r="A16" s="128" t="s">
        <v>100</v>
      </c>
      <c r="B16" s="129" t="s">
        <v>101</v>
      </c>
      <c r="C16" s="132">
        <f>ROUND('3.CAGED'!B25/'3.CAGED'!B22,4)</f>
        <v>8.3299999999999999E-2</v>
      </c>
      <c r="D16" s="133"/>
      <c r="E16"/>
      <c r="F16" s="126"/>
      <c r="G16" s="126"/>
      <c r="H16" s="126"/>
      <c r="I16" s="126"/>
      <c r="J16" s="126"/>
      <c r="K16" s="126"/>
      <c r="L16" s="126"/>
    </row>
    <row r="17" spans="1:12" ht="14.25" x14ac:dyDescent="0.2">
      <c r="A17" s="128" t="s">
        <v>102</v>
      </c>
      <c r="B17" s="129" t="s">
        <v>103</v>
      </c>
      <c r="C17" s="132">
        <v>5.9999999999999995E-4</v>
      </c>
      <c r="D17" s="133"/>
      <c r="E17"/>
      <c r="F17" s="126"/>
      <c r="G17" s="126"/>
      <c r="H17" s="126"/>
      <c r="I17" s="126"/>
      <c r="J17" s="126"/>
      <c r="K17" s="126"/>
      <c r="L17" s="126"/>
    </row>
    <row r="18" spans="1:12" ht="14.25" x14ac:dyDescent="0.2">
      <c r="A18" s="128" t="s">
        <v>104</v>
      </c>
      <c r="B18" s="129" t="s">
        <v>105</v>
      </c>
      <c r="C18" s="132">
        <v>8.2000000000000007E-3</v>
      </c>
      <c r="D18" s="133"/>
      <c r="E18"/>
      <c r="F18" s="126"/>
      <c r="G18" s="126"/>
      <c r="H18" s="126"/>
      <c r="I18" s="126"/>
      <c r="J18" s="126"/>
      <c r="K18" s="126"/>
      <c r="L18" s="126"/>
    </row>
    <row r="19" spans="1:12" ht="14.25" x14ac:dyDescent="0.2">
      <c r="A19" s="128" t="s">
        <v>106</v>
      </c>
      <c r="B19" s="129" t="s">
        <v>107</v>
      </c>
      <c r="C19" s="132">
        <v>3.0999999999999999E-3</v>
      </c>
      <c r="D19" s="133"/>
      <c r="E19"/>
      <c r="F19" s="126"/>
      <c r="G19" s="126"/>
      <c r="H19" s="126"/>
      <c r="I19" s="126"/>
      <c r="J19" s="126"/>
      <c r="K19" s="126"/>
      <c r="L19" s="126"/>
    </row>
    <row r="20" spans="1:12" ht="14.25" x14ac:dyDescent="0.2">
      <c r="A20" s="128" t="s">
        <v>108</v>
      </c>
      <c r="B20" s="129" t="s">
        <v>109</v>
      </c>
      <c r="C20" s="132">
        <v>1.66E-2</v>
      </c>
      <c r="D20" s="133"/>
      <c r="E20"/>
      <c r="F20" s="126"/>
      <c r="G20" s="126"/>
      <c r="H20" s="126"/>
      <c r="I20" s="126"/>
      <c r="J20" s="126"/>
      <c r="K20" s="126"/>
      <c r="L20" s="126"/>
    </row>
    <row r="21" spans="1:12" ht="15" x14ac:dyDescent="0.2">
      <c r="A21" s="128" t="s">
        <v>110</v>
      </c>
      <c r="B21" s="134" t="s">
        <v>111</v>
      </c>
      <c r="C21" s="135">
        <f>SUM(C15:C20)</f>
        <v>0.11180000000000001</v>
      </c>
      <c r="D21" s="139"/>
      <c r="E21"/>
      <c r="F21" s="126"/>
      <c r="G21" s="126"/>
      <c r="H21" s="126"/>
      <c r="I21" s="126"/>
      <c r="J21" s="126"/>
      <c r="K21" s="126"/>
      <c r="L21" s="126"/>
    </row>
    <row r="22" spans="1:12" ht="15" x14ac:dyDescent="0.2">
      <c r="A22" s="136"/>
      <c r="B22" s="137"/>
      <c r="C22" s="138"/>
      <c r="D22" s="139"/>
      <c r="E22"/>
      <c r="F22" s="126"/>
      <c r="G22" s="126"/>
      <c r="H22" s="126"/>
      <c r="I22" s="126"/>
      <c r="J22" s="126"/>
      <c r="K22" s="126"/>
      <c r="L22" s="126"/>
    </row>
    <row r="23" spans="1:12" ht="14.25" x14ac:dyDescent="0.2">
      <c r="A23" s="128" t="s">
        <v>112</v>
      </c>
      <c r="B23" s="129" t="s">
        <v>113</v>
      </c>
      <c r="C23" s="132">
        <f>ROUND(('3.CAGED'!B30) *'3.CAGED'!B21/'3.CAGED'!B22,4)</f>
        <v>0</v>
      </c>
      <c r="D23" s="133"/>
      <c r="E23" s="140"/>
      <c r="F23" s="126"/>
      <c r="G23" s="126"/>
      <c r="H23" s="126"/>
      <c r="I23" s="126"/>
      <c r="J23" s="126"/>
      <c r="K23" s="126"/>
      <c r="L23" s="126"/>
    </row>
    <row r="24" spans="1:12" ht="14.25" x14ac:dyDescent="0.2">
      <c r="A24" s="128" t="s">
        <v>114</v>
      </c>
      <c r="B24" s="129" t="s">
        <v>115</v>
      </c>
      <c r="C24" s="132">
        <f>ROUND(IF('3.CAGED'!B31&gt;12,12/'3.CAGED'!B31*0.1111,0.1111),4)</f>
        <v>0.1111</v>
      </c>
      <c r="D24" s="133"/>
      <c r="E24"/>
      <c r="F24" s="126"/>
      <c r="G24" s="126"/>
      <c r="H24" s="141"/>
      <c r="I24" s="126"/>
      <c r="J24" s="126"/>
      <c r="K24" s="126"/>
      <c r="L24" s="126"/>
    </row>
    <row r="25" spans="1:12" ht="14.25" x14ac:dyDescent="0.2">
      <c r="A25" s="128" t="s">
        <v>116</v>
      </c>
      <c r="B25" s="129" t="s">
        <v>117</v>
      </c>
      <c r="C25" s="132">
        <f>ROUND(('3.CAGED'!B24+'3.CAGED'!B23)/360*C23,4)</f>
        <v>0</v>
      </c>
      <c r="D25" s="133"/>
      <c r="E25"/>
      <c r="F25" s="126"/>
      <c r="G25" s="126"/>
      <c r="H25" s="126"/>
      <c r="I25" s="126"/>
      <c r="J25" s="126"/>
      <c r="K25" s="126"/>
      <c r="L25" s="126"/>
    </row>
    <row r="26" spans="1:12" ht="14.25" x14ac:dyDescent="0.2">
      <c r="A26" s="128" t="s">
        <v>118</v>
      </c>
      <c r="B26" s="129" t="s">
        <v>119</v>
      </c>
      <c r="C26" s="132">
        <f>ROUND(('3.CAGED'!B22+'3.CAGED'!B23+'3.CAGED'!B25)/'3.CAGED'!B20*'3.CAGED'!B27*'3.CAGED'!B28*'3.CAGED'!B21/'3.CAGED'!B22,4)</f>
        <v>0</v>
      </c>
      <c r="D26" s="133"/>
      <c r="E26"/>
      <c r="F26" s="126"/>
      <c r="G26" s="142"/>
      <c r="H26" s="126"/>
      <c r="I26" s="126"/>
      <c r="J26" s="126"/>
      <c r="K26" s="126"/>
      <c r="L26" s="126"/>
    </row>
    <row r="27" spans="1:12" ht="14.25" x14ac:dyDescent="0.2">
      <c r="A27" s="128" t="s">
        <v>120</v>
      </c>
      <c r="B27" s="129" t="s">
        <v>121</v>
      </c>
      <c r="C27" s="132">
        <f>ROUND(('3.CAGED'!B24/'3.CAGED'!B22)*'3.CAGED'!B21/12,4)</f>
        <v>0</v>
      </c>
      <c r="D27" s="133"/>
      <c r="E27"/>
      <c r="F27" s="126"/>
      <c r="G27" s="126"/>
      <c r="H27" s="126"/>
      <c r="I27" s="126"/>
      <c r="J27" s="126"/>
      <c r="K27" s="126"/>
      <c r="L27" s="126"/>
    </row>
    <row r="28" spans="1:12" ht="15" x14ac:dyDescent="0.2">
      <c r="A28" s="128" t="s">
        <v>122</v>
      </c>
      <c r="B28" s="134" t="s">
        <v>123</v>
      </c>
      <c r="C28" s="135">
        <f>SUM(C23:C27)</f>
        <v>0.1111</v>
      </c>
      <c r="D28" s="139"/>
      <c r="E28"/>
      <c r="F28" s="126"/>
      <c r="G28" s="126"/>
      <c r="H28" s="126"/>
      <c r="I28" s="126"/>
      <c r="J28" s="126"/>
      <c r="K28" s="126"/>
      <c r="L28" s="126"/>
    </row>
    <row r="29" spans="1:12" ht="15" x14ac:dyDescent="0.2">
      <c r="A29" s="136"/>
      <c r="B29" s="137"/>
      <c r="C29" s="138"/>
      <c r="D29" s="139"/>
      <c r="E29"/>
      <c r="F29" s="126"/>
      <c r="G29" s="126"/>
      <c r="H29" s="126"/>
      <c r="I29" s="126"/>
      <c r="J29" s="126"/>
      <c r="K29" s="126"/>
      <c r="L29" s="126"/>
    </row>
    <row r="30" spans="1:12" ht="14.25" x14ac:dyDescent="0.2">
      <c r="A30" s="128" t="s">
        <v>124</v>
      </c>
      <c r="B30" s="129" t="s">
        <v>125</v>
      </c>
      <c r="C30" s="132">
        <f>ROUND(C13*C21,4)</f>
        <v>4.1099999999999998E-2</v>
      </c>
      <c r="D30" s="133"/>
      <c r="E30"/>
      <c r="F30" s="126"/>
      <c r="G30" s="126"/>
      <c r="H30" s="126"/>
      <c r="I30" s="126"/>
      <c r="J30" s="126"/>
      <c r="K30" s="126"/>
      <c r="L30" s="126"/>
    </row>
    <row r="31" spans="1:12" ht="28.5" x14ac:dyDescent="0.2">
      <c r="A31" s="128" t="s">
        <v>126</v>
      </c>
      <c r="B31" s="143" t="s">
        <v>127</v>
      </c>
      <c r="C31" s="132">
        <f>ROUND((C23*C13),4)</f>
        <v>0</v>
      </c>
      <c r="D31" s="133"/>
      <c r="E31"/>
      <c r="F31" s="126"/>
      <c r="G31" s="126"/>
      <c r="H31" s="126"/>
      <c r="I31" s="126"/>
      <c r="J31" s="126"/>
      <c r="K31" s="126"/>
      <c r="L31" s="126"/>
    </row>
    <row r="32" spans="1:12" ht="15" x14ac:dyDescent="0.2">
      <c r="A32" s="128" t="s">
        <v>128</v>
      </c>
      <c r="B32" s="134" t="s">
        <v>129</v>
      </c>
      <c r="C32" s="135">
        <f>SUM(C30:C31)</f>
        <v>4.1099999999999998E-2</v>
      </c>
      <c r="D32" s="144"/>
      <c r="E32"/>
      <c r="F32" s="126"/>
      <c r="G32" s="126"/>
      <c r="H32" s="126"/>
      <c r="I32" s="126"/>
      <c r="J32" s="126"/>
      <c r="K32" s="126"/>
      <c r="L32" s="126"/>
    </row>
    <row r="33" spans="1:12" ht="15" x14ac:dyDescent="0.2">
      <c r="A33" s="145"/>
      <c r="B33" s="146" t="s">
        <v>130</v>
      </c>
      <c r="C33" s="147">
        <f>C32+C28+C21+C13</f>
        <v>0.63200000000000012</v>
      </c>
      <c r="D33" s="144"/>
      <c r="E33"/>
      <c r="F33" s="126"/>
      <c r="G33" s="126"/>
      <c r="H33" s="126"/>
      <c r="I33" s="126"/>
      <c r="J33" s="126"/>
      <c r="K33" s="126"/>
      <c r="L33" s="126"/>
    </row>
    <row r="34" spans="1:12" ht="15" x14ac:dyDescent="0.2">
      <c r="A34" s="133"/>
      <c r="B34" s="148"/>
      <c r="C34" s="149"/>
      <c r="D34" s="150"/>
      <c r="E34"/>
      <c r="F34" s="126"/>
      <c r="G34" s="126"/>
      <c r="H34" s="126"/>
      <c r="I34" s="126"/>
      <c r="J34" s="126"/>
      <c r="K34" s="126"/>
      <c r="L34" s="126"/>
    </row>
    <row r="35" spans="1:12" ht="14.25" x14ac:dyDescent="0.2">
      <c r="A35" s="133"/>
      <c r="B35" s="133"/>
      <c r="C35" s="151"/>
      <c r="D35" s="152"/>
      <c r="E35"/>
      <c r="F35" s="126"/>
      <c r="G35" s="126"/>
      <c r="H35" s="126"/>
      <c r="I35" s="126"/>
      <c r="J35" s="126"/>
      <c r="K35" s="126"/>
      <c r="L35" s="126"/>
    </row>
  </sheetData>
  <mergeCells count="2">
    <mergeCell ref="A3:C3"/>
    <mergeCell ref="A1:C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view="pageBreakPreview" workbookViewId="0">
      <selection sqref="A1:B1"/>
    </sheetView>
  </sheetViews>
  <sheetFormatPr defaultRowHeight="12.75" x14ac:dyDescent="0.2"/>
  <cols>
    <col min="1" max="1" width="73.85546875" style="89"/>
    <col min="2" max="2" width="13.42578125" style="89"/>
    <col min="3" max="10" width="0" style="89" hidden="1"/>
    <col min="11" max="1024" width="9" style="89"/>
  </cols>
  <sheetData>
    <row r="1" spans="1:1024" ht="15.75" x14ac:dyDescent="0.2">
      <c r="A1" s="294" t="s">
        <v>219</v>
      </c>
      <c r="B1" s="294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</row>
    <row r="2" spans="1:1024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8" x14ac:dyDescent="0.25">
      <c r="A3" s="295" t="s">
        <v>131</v>
      </c>
      <c r="B3" s="29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15" x14ac:dyDescent="0.25">
      <c r="A4" s="259" t="s">
        <v>218</v>
      </c>
      <c r="B4" s="15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5" x14ac:dyDescent="0.25">
      <c r="A5" s="155" t="s">
        <v>132</v>
      </c>
      <c r="B5" s="156">
        <v>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5" x14ac:dyDescent="0.25">
      <c r="A6" s="157" t="s">
        <v>133</v>
      </c>
      <c r="B6" s="156">
        <f>SUM(B7:B14)</f>
        <v>9171.48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14.25" x14ac:dyDescent="0.2">
      <c r="A7" s="158" t="s">
        <v>134</v>
      </c>
      <c r="B7" s="159">
        <v>9171.48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ht="14.25" x14ac:dyDescent="0.2">
      <c r="A8" s="158" t="s">
        <v>135</v>
      </c>
      <c r="B8" s="159">
        <v>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ht="14.25" x14ac:dyDescent="0.2">
      <c r="A9" s="158" t="s">
        <v>136</v>
      </c>
      <c r="B9" s="159">
        <v>0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ht="14.25" x14ac:dyDescent="0.2">
      <c r="A10" s="158" t="s">
        <v>137</v>
      </c>
      <c r="B10" s="159">
        <v>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ht="14.25" x14ac:dyDescent="0.2">
      <c r="A11" s="158" t="s">
        <v>138</v>
      </c>
      <c r="B11" s="159">
        <v>0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4.25" x14ac:dyDescent="0.2">
      <c r="A12" s="158" t="s">
        <v>139</v>
      </c>
      <c r="B12" s="159">
        <v>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14.25" x14ac:dyDescent="0.2">
      <c r="A13" s="158" t="s">
        <v>140</v>
      </c>
      <c r="B13" s="159">
        <v>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4.25" x14ac:dyDescent="0.2">
      <c r="A14" s="160" t="s">
        <v>141</v>
      </c>
      <c r="B14" s="161">
        <v>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5" x14ac:dyDescent="0.25">
      <c r="A15" s="153" t="s">
        <v>142</v>
      </c>
      <c r="B15" s="16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4.25" x14ac:dyDescent="0.2">
      <c r="A16" s="163" t="s">
        <v>143</v>
      </c>
      <c r="B16" s="164">
        <v>9171.48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14.25" x14ac:dyDescent="0.2">
      <c r="A17" s="158" t="s">
        <v>144</v>
      </c>
      <c r="B17" s="159"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14.25" x14ac:dyDescent="0.2">
      <c r="A18" s="158" t="s">
        <v>145</v>
      </c>
      <c r="B18" s="159"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14.25" x14ac:dyDescent="0.2">
      <c r="A19" s="165"/>
      <c r="B19" s="166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15" x14ac:dyDescent="0.25">
      <c r="A20" s="167" t="s">
        <v>146</v>
      </c>
      <c r="B20" s="168">
        <f>MEDIAN(B5,B6)/MEDIAN(B16,B17)</f>
        <v>1</v>
      </c>
      <c r="C20"/>
      <c r="D20"/>
      <c r="E20"/>
      <c r="F20" s="89">
        <f>12/B20</f>
        <v>12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5" x14ac:dyDescent="0.25">
      <c r="A21" s="155" t="s">
        <v>147</v>
      </c>
      <c r="B21" s="168">
        <f>B8/MEDIAN(B16,B17)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15" x14ac:dyDescent="0.25">
      <c r="A22" s="169" t="s">
        <v>148</v>
      </c>
      <c r="B22" s="170">
        <v>360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15" x14ac:dyDescent="0.25">
      <c r="A23" s="155" t="s">
        <v>149</v>
      </c>
      <c r="B23" s="170">
        <v>10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15" x14ac:dyDescent="0.25">
      <c r="A24" s="155" t="s">
        <v>150</v>
      </c>
      <c r="B24" s="170">
        <v>30</v>
      </c>
      <c r="C24"/>
      <c r="D24"/>
      <c r="E24"/>
      <c r="F24" s="89">
        <f>TRUNC(F29)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15" x14ac:dyDescent="0.25">
      <c r="A25" s="155" t="s">
        <v>151</v>
      </c>
      <c r="B25" s="170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s="171" customFormat="1" ht="15" x14ac:dyDescent="0.25">
      <c r="A26" s="155" t="s">
        <v>152</v>
      </c>
      <c r="B26" s="172">
        <f>MEDIAN(B16,B17)</f>
        <v>4585.74</v>
      </c>
    </row>
    <row r="27" spans="1:1023" ht="15" x14ac:dyDescent="0.25">
      <c r="A27" s="155" t="s">
        <v>95</v>
      </c>
      <c r="B27" s="173">
        <v>0.08</v>
      </c>
      <c r="C27" s="171"/>
      <c r="D27" s="171"/>
      <c r="E27" s="171"/>
      <c r="F27" s="171"/>
      <c r="G27" s="171"/>
      <c r="H27" s="171"/>
      <c r="I27" s="171"/>
      <c r="J27" s="171">
        <f>IF(B31&gt;12,B31-12,B31)</f>
        <v>12</v>
      </c>
    </row>
    <row r="28" spans="1:1023" ht="15" x14ac:dyDescent="0.25">
      <c r="A28" s="155" t="s">
        <v>153</v>
      </c>
      <c r="B28" s="173">
        <v>0.5</v>
      </c>
      <c r="C28" s="171"/>
      <c r="D28" s="171"/>
      <c r="E28" s="171"/>
      <c r="F28" s="171"/>
      <c r="G28" s="171"/>
      <c r="H28" s="171"/>
      <c r="I28" s="171"/>
      <c r="J28" s="171" t="e">
        <f>IF(#REF!&gt;12,#REF!-12,#REF!)</f>
        <v>#REF!</v>
      </c>
    </row>
    <row r="29" spans="1:1023" ht="15" x14ac:dyDescent="0.25">
      <c r="A29" s="155" t="s">
        <v>154</v>
      </c>
      <c r="B29" s="174">
        <f>((1/B20)-TRUNC(D29))</f>
        <v>0</v>
      </c>
      <c r="C29" s="171">
        <f>TRUNC(D29)</f>
        <v>1</v>
      </c>
      <c r="D29" s="171">
        <f>1/B20</f>
        <v>1</v>
      </c>
      <c r="E29" s="171">
        <f>((1/B20)-TRUNC(D29))</f>
        <v>0</v>
      </c>
      <c r="F29" s="171">
        <f>12*E29</f>
        <v>0</v>
      </c>
      <c r="J29" s="171" t="e">
        <f>IF(#REF!&gt;12,#REF!-12,#REF!)</f>
        <v>#REF!</v>
      </c>
    </row>
    <row r="30" spans="1:1023" ht="15" x14ac:dyDescent="0.25">
      <c r="A30" s="153" t="s">
        <v>155</v>
      </c>
      <c r="B30" s="175">
        <f>30+C30</f>
        <v>33</v>
      </c>
      <c r="C30" s="171">
        <f>3*C29</f>
        <v>3</v>
      </c>
      <c r="F30" s="171">
        <f>F29/12*40/360</f>
        <v>0</v>
      </c>
      <c r="J30" s="171" t="e">
        <f>IF(#REF!&gt;12,#REF!-12,#REF!)</f>
        <v>#REF!</v>
      </c>
    </row>
    <row r="31" spans="1:1023" ht="15" x14ac:dyDescent="0.25">
      <c r="A31" s="176" t="s">
        <v>156</v>
      </c>
      <c r="B31" s="177">
        <f>12/B20</f>
        <v>12</v>
      </c>
      <c r="J31" s="171" t="e">
        <f>IF(#REF!&gt;12,#REF!-12,#REF!)</f>
        <v>#REF!</v>
      </c>
    </row>
    <row r="32" spans="1:1023" x14ac:dyDescent="0.2">
      <c r="J32" s="89" t="e">
        <f>IF(J31&gt;12,J31-12,J31)</f>
        <v>#REF!</v>
      </c>
    </row>
    <row r="33" spans="10:10" x14ac:dyDescent="0.2">
      <c r="J33" s="89" t="e">
        <f>IF(J32&gt;12,J32-12,J32)</f>
        <v>#REF!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workbookViewId="0">
      <selection activeCell="C14" sqref="C14"/>
    </sheetView>
  </sheetViews>
  <sheetFormatPr defaultRowHeight="12.75" x14ac:dyDescent="0.2"/>
  <cols>
    <col min="1" max="1" width="41" customWidth="1"/>
    <col min="3" max="3" width="11"/>
    <col min="4" max="4" width="9.5703125"/>
    <col min="5" max="5" width="7.85546875" style="178"/>
    <col min="6" max="6" width="9.5703125"/>
    <col min="7" max="1025" width="8.5703125"/>
  </cols>
  <sheetData>
    <row r="1" spans="1:6" ht="15.75" x14ac:dyDescent="0.2">
      <c r="A1" s="294" t="s">
        <v>219</v>
      </c>
      <c r="B1" s="294"/>
      <c r="C1" s="294"/>
      <c r="D1" s="294"/>
      <c r="E1" s="294"/>
      <c r="F1" s="294"/>
    </row>
    <row r="2" spans="1:6" s="179" customFormat="1" ht="14.25" x14ac:dyDescent="0.2">
      <c r="B2" s="180"/>
      <c r="C2" s="180"/>
      <c r="E2" s="181"/>
    </row>
    <row r="3" spans="1:6" ht="18" x14ac:dyDescent="0.2">
      <c r="A3" s="297" t="s">
        <v>157</v>
      </c>
      <c r="B3" s="298"/>
      <c r="C3" s="298"/>
      <c r="D3" s="298"/>
      <c r="E3" s="298"/>
      <c r="F3" s="299"/>
    </row>
    <row r="4" spans="1:6" s="179" customFormat="1" ht="15" x14ac:dyDescent="0.2">
      <c r="A4" s="244"/>
      <c r="B4" s="245"/>
      <c r="C4" s="245"/>
      <c r="D4" s="245"/>
      <c r="E4" s="245"/>
      <c r="F4" s="246"/>
    </row>
    <row r="5" spans="1:6" s="179" customFormat="1" ht="15" x14ac:dyDescent="0.25">
      <c r="A5" s="182"/>
      <c r="B5" s="183"/>
      <c r="C5" s="183"/>
      <c r="D5" s="300" t="s">
        <v>158</v>
      </c>
      <c r="E5" s="300"/>
      <c r="F5" s="300"/>
    </row>
    <row r="6" spans="1:6" s="179" customFormat="1" ht="14.25" x14ac:dyDescent="0.2">
      <c r="A6" s="165"/>
      <c r="B6" s="184"/>
      <c r="C6" s="184"/>
      <c r="D6" s="185" t="s">
        <v>159</v>
      </c>
      <c r="E6" s="186" t="s">
        <v>160</v>
      </c>
      <c r="F6" s="187" t="s">
        <v>161</v>
      </c>
    </row>
    <row r="7" spans="1:6" s="179" customFormat="1" ht="14.25" x14ac:dyDescent="0.2">
      <c r="A7" s="188" t="s">
        <v>162</v>
      </c>
      <c r="B7" s="189" t="s">
        <v>163</v>
      </c>
      <c r="C7" s="190">
        <v>0.1</v>
      </c>
      <c r="D7" s="191">
        <v>2.9700000000000001E-2</v>
      </c>
      <c r="E7" s="192">
        <v>5.0799999999999998E-2</v>
      </c>
      <c r="F7" s="193">
        <v>6.2700000000000006E-2</v>
      </c>
    </row>
    <row r="8" spans="1:6" s="179" customFormat="1" ht="14.25" x14ac:dyDescent="0.2">
      <c r="A8" s="194" t="s">
        <v>164</v>
      </c>
      <c r="B8" s="195" t="s">
        <v>165</v>
      </c>
      <c r="C8" s="196">
        <v>1.4999999999999999E-2</v>
      </c>
      <c r="D8" s="191">
        <f>0.003+0.0056</f>
        <v>8.6E-3</v>
      </c>
      <c r="E8" s="192">
        <f>0.0048+0.0085</f>
        <v>1.3299999999999999E-2</v>
      </c>
      <c r="F8" s="193">
        <f>0.0082+0.0089</f>
        <v>1.7100000000000001E-2</v>
      </c>
    </row>
    <row r="9" spans="1:6" s="179" customFormat="1" ht="14.25" x14ac:dyDescent="0.2">
      <c r="A9" s="194" t="s">
        <v>166</v>
      </c>
      <c r="B9" s="195" t="s">
        <v>167</v>
      </c>
      <c r="C9" s="196">
        <v>0.05</v>
      </c>
      <c r="D9" s="191">
        <v>7.7799999999999994E-2</v>
      </c>
      <c r="E9" s="192">
        <v>0.1085</v>
      </c>
      <c r="F9" s="193">
        <v>0.13550000000000001</v>
      </c>
    </row>
    <row r="10" spans="1:6" s="179" customFormat="1" ht="14.25" x14ac:dyDescent="0.2">
      <c r="A10" s="194" t="s">
        <v>168</v>
      </c>
      <c r="B10" s="195" t="s">
        <v>169</v>
      </c>
      <c r="C10" s="196">
        <v>0</v>
      </c>
      <c r="D10" s="197" t="s">
        <v>170</v>
      </c>
      <c r="E10" s="198">
        <v>8.4500000000000006E-2</v>
      </c>
      <c r="F10" s="199"/>
    </row>
    <row r="11" spans="1:6" s="179" customFormat="1" ht="14.25" x14ac:dyDescent="0.2">
      <c r="A11" s="194" t="s">
        <v>171</v>
      </c>
      <c r="B11" s="301" t="s">
        <v>172</v>
      </c>
      <c r="C11" s="196">
        <v>0.05</v>
      </c>
      <c r="D11" s="200" t="s">
        <v>173</v>
      </c>
      <c r="E11" s="209">
        <v>0</v>
      </c>
      <c r="F11" s="237"/>
    </row>
    <row r="12" spans="1:6" s="179" customFormat="1" ht="14.25" x14ac:dyDescent="0.2">
      <c r="A12" s="201" t="s">
        <v>174</v>
      </c>
      <c r="B12" s="301"/>
      <c r="C12" s="202">
        <v>9.2499999999999999E-2</v>
      </c>
      <c r="D12" s="200"/>
      <c r="E12" s="209"/>
      <c r="F12" s="237"/>
    </row>
    <row r="13" spans="1:6" s="179" customFormat="1" ht="14.25" x14ac:dyDescent="0.2">
      <c r="A13" s="203" t="s">
        <v>175</v>
      </c>
      <c r="B13" s="243"/>
      <c r="C13" s="204">
        <v>0</v>
      </c>
      <c r="D13" s="205"/>
      <c r="E13" s="209"/>
      <c r="F13" s="237"/>
    </row>
    <row r="14" spans="1:6" s="179" customFormat="1" ht="14.25" x14ac:dyDescent="0.2">
      <c r="A14" s="206" t="s">
        <v>176</v>
      </c>
      <c r="B14" s="207"/>
      <c r="C14" s="208"/>
      <c r="D14" s="200"/>
      <c r="E14" s="209"/>
      <c r="F14" s="237"/>
    </row>
    <row r="15" spans="1:6" s="179" customFormat="1" ht="14.25" x14ac:dyDescent="0.2">
      <c r="A15" s="210" t="s">
        <v>177</v>
      </c>
      <c r="B15" s="211"/>
      <c r="C15" s="212"/>
      <c r="D15" s="200"/>
      <c r="E15" s="209"/>
      <c r="F15" s="237"/>
    </row>
    <row r="16" spans="1:6" s="179" customFormat="1" ht="15" x14ac:dyDescent="0.2">
      <c r="A16" s="213" t="s">
        <v>178</v>
      </c>
      <c r="B16" s="214"/>
      <c r="C16" s="215">
        <f>ROUND((((1+C7+C8)*(1+C9)*(1+C10))/(1-(C11+C12))-1),4)</f>
        <v>0.36530000000000001</v>
      </c>
      <c r="D16" s="216">
        <v>0.21429999999999999</v>
      </c>
      <c r="E16" s="217">
        <v>0.2717</v>
      </c>
      <c r="F16" s="218">
        <v>0.3362</v>
      </c>
    </row>
  </sheetData>
  <mergeCells count="4">
    <mergeCell ref="A3:F3"/>
    <mergeCell ref="D5:F5"/>
    <mergeCell ref="B11:B12"/>
    <mergeCell ref="A1:F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>
      <selection activeCell="B14" sqref="B14"/>
    </sheetView>
  </sheetViews>
  <sheetFormatPr defaultRowHeight="12.75" x14ac:dyDescent="0.2"/>
  <cols>
    <col min="1" max="1" width="30.7109375" style="89"/>
    <col min="2" max="2" width="24.28515625" style="89"/>
    <col min="3" max="1025" width="9" style="89"/>
  </cols>
  <sheetData>
    <row r="1" spans="1:1025" ht="15.75" x14ac:dyDescent="0.2">
      <c r="A1" s="294" t="s">
        <v>219</v>
      </c>
      <c r="B1" s="304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  <c r="AMK1" s="232"/>
    </row>
    <row r="2" spans="1:1025" x14ac:dyDescent="0.2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9.5" customHeight="1" x14ac:dyDescent="0.2">
      <c r="A3" s="302" t="s">
        <v>179</v>
      </c>
      <c r="B3" s="30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1" customFormat="1" ht="19.5" customHeight="1" x14ac:dyDescent="0.2">
      <c r="A4" s="219" t="s">
        <v>180</v>
      </c>
      <c r="B4" s="220" t="s">
        <v>181</v>
      </c>
    </row>
    <row r="5" spans="1:1025" ht="19.5" customHeight="1" x14ac:dyDescent="0.2">
      <c r="A5" s="221">
        <v>1</v>
      </c>
      <c r="B5" s="222">
        <v>33.630000000000003</v>
      </c>
    </row>
    <row r="6" spans="1:1025" ht="19.5" customHeight="1" x14ac:dyDescent="0.2">
      <c r="A6" s="221">
        <v>2</v>
      </c>
      <c r="B6" s="222">
        <v>43.13</v>
      </c>
    </row>
    <row r="7" spans="1:1025" ht="19.5" customHeight="1" x14ac:dyDescent="0.2">
      <c r="A7" s="221">
        <v>3</v>
      </c>
      <c r="B7" s="222">
        <v>48.68</v>
      </c>
    </row>
    <row r="8" spans="1:1025" ht="19.5" customHeight="1" x14ac:dyDescent="0.2">
      <c r="A8" s="221">
        <v>4</v>
      </c>
      <c r="B8" s="222">
        <v>52.62</v>
      </c>
    </row>
    <row r="9" spans="1:1025" ht="19.5" customHeight="1" x14ac:dyDescent="0.2">
      <c r="A9" s="221">
        <v>5</v>
      </c>
      <c r="B9" s="222">
        <v>55.68</v>
      </c>
    </row>
    <row r="10" spans="1:1025" ht="19.5" customHeight="1" x14ac:dyDescent="0.2">
      <c r="A10" s="221">
        <v>6</v>
      </c>
      <c r="B10" s="222">
        <v>58.18</v>
      </c>
    </row>
    <row r="11" spans="1:1025" ht="19.5" customHeight="1" x14ac:dyDescent="0.2">
      <c r="A11" s="221">
        <v>7</v>
      </c>
      <c r="B11" s="222">
        <v>60.29</v>
      </c>
    </row>
    <row r="12" spans="1:1025" ht="19.5" customHeight="1" x14ac:dyDescent="0.2">
      <c r="A12" s="221">
        <v>8</v>
      </c>
      <c r="B12" s="222">
        <v>62.12</v>
      </c>
    </row>
    <row r="13" spans="1:1025" ht="19.5" customHeight="1" x14ac:dyDescent="0.2">
      <c r="A13" s="221">
        <v>9</v>
      </c>
      <c r="B13" s="222">
        <v>63.73</v>
      </c>
    </row>
    <row r="14" spans="1:1025" ht="19.5" customHeight="1" x14ac:dyDescent="0.2">
      <c r="A14" s="221">
        <v>10</v>
      </c>
      <c r="B14" s="222">
        <v>65.180000000000007</v>
      </c>
    </row>
    <row r="15" spans="1:1025" ht="19.5" customHeight="1" x14ac:dyDescent="0.2">
      <c r="A15" s="221">
        <v>11</v>
      </c>
      <c r="B15" s="222">
        <v>66.48</v>
      </c>
    </row>
    <row r="16" spans="1:1025" ht="19.5" customHeight="1" x14ac:dyDescent="0.2">
      <c r="A16" s="221">
        <v>12</v>
      </c>
      <c r="B16" s="222">
        <v>67.67</v>
      </c>
    </row>
    <row r="17" spans="1:2" ht="19.5" customHeight="1" x14ac:dyDescent="0.2">
      <c r="A17" s="221">
        <v>13</v>
      </c>
      <c r="B17" s="222">
        <v>68.77</v>
      </c>
    </row>
    <row r="18" spans="1:2" ht="19.5" customHeight="1" x14ac:dyDescent="0.2">
      <c r="A18" s="221">
        <v>14</v>
      </c>
      <c r="B18" s="222">
        <v>69.790000000000006</v>
      </c>
    </row>
    <row r="19" spans="1:2" ht="19.5" customHeight="1" x14ac:dyDescent="0.2">
      <c r="A19" s="223">
        <v>15</v>
      </c>
      <c r="B19" s="224">
        <v>70.73</v>
      </c>
    </row>
  </sheetData>
  <mergeCells count="2">
    <mergeCell ref="A3:B3"/>
    <mergeCell ref="A1:B1"/>
  </mergeCells>
  <pageMargins left="0.905555555555556" right="0.51180555555555496" top="0.74791666666666701" bottom="0.7479166666666670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view="pageBreakPreview" workbookViewId="0"/>
  </sheetViews>
  <sheetFormatPr defaultRowHeight="12.75" x14ac:dyDescent="0.2"/>
  <cols>
    <col min="1" max="1" width="69.7109375" style="89"/>
    <col min="2" max="3" width="9" style="89"/>
    <col min="4" max="4" width="12.7109375" style="89"/>
    <col min="5" max="1025" width="9" style="89"/>
  </cols>
  <sheetData>
    <row r="1" spans="1:1025" ht="15.75" x14ac:dyDescent="0.2">
      <c r="A1" s="262" t="s">
        <v>219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  <c r="AMI1" s="232"/>
      <c r="AMJ1" s="232"/>
      <c r="AMK1" s="232"/>
    </row>
    <row r="2" spans="1:1025" x14ac:dyDescent="0.2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  <c r="AMI2" s="232"/>
      <c r="AMJ2" s="232"/>
      <c r="AMK2" s="232"/>
    </row>
    <row r="3" spans="1:1025" ht="18" x14ac:dyDescent="0.25">
      <c r="A3" s="247" t="s">
        <v>182</v>
      </c>
    </row>
    <row r="4" spans="1:1025" x14ac:dyDescent="0.2">
      <c r="A4" s="225"/>
    </row>
    <row r="5" spans="1:1025" x14ac:dyDescent="0.2">
      <c r="A5" s="225" t="s">
        <v>183</v>
      </c>
    </row>
    <row r="6" spans="1:1025" x14ac:dyDescent="0.2">
      <c r="A6" s="225"/>
    </row>
    <row r="7" spans="1:1025" x14ac:dyDescent="0.2">
      <c r="A7" s="225"/>
    </row>
    <row r="8" spans="1:1025" x14ac:dyDescent="0.2">
      <c r="A8" s="225"/>
    </row>
    <row r="9" spans="1:1025" x14ac:dyDescent="0.2">
      <c r="A9" s="225"/>
    </row>
    <row r="10" spans="1:1025" x14ac:dyDescent="0.2">
      <c r="A10" s="225"/>
    </row>
    <row r="11" spans="1:1025" x14ac:dyDescent="0.2">
      <c r="A11" s="225"/>
    </row>
    <row r="12" spans="1:1025" x14ac:dyDescent="0.2">
      <c r="A12" s="225"/>
    </row>
    <row r="13" spans="1:1025" x14ac:dyDescent="0.2">
      <c r="A13" s="225"/>
    </row>
    <row r="14" spans="1:1025" ht="19.5" x14ac:dyDescent="0.35">
      <c r="A14" s="226" t="s">
        <v>184</v>
      </c>
    </row>
    <row r="15" spans="1:1025" ht="15" x14ac:dyDescent="0.2">
      <c r="A15" s="226" t="s">
        <v>185</v>
      </c>
    </row>
    <row r="16" spans="1:1025" ht="15" x14ac:dyDescent="0.2">
      <c r="A16" s="226" t="s">
        <v>186</v>
      </c>
    </row>
    <row r="17" spans="1:1" ht="19.5" x14ac:dyDescent="0.35">
      <c r="A17" s="226" t="s">
        <v>187</v>
      </c>
    </row>
    <row r="18" spans="1:1" ht="19.5" x14ac:dyDescent="0.35">
      <c r="A18" s="226" t="s">
        <v>188</v>
      </c>
    </row>
    <row r="19" spans="1:1" ht="15" x14ac:dyDescent="0.2">
      <c r="A19" s="227" t="s">
        <v>189</v>
      </c>
    </row>
  </sheetData>
  <pageMargins left="0.905555555555556" right="0.51180555555555496" top="0.74791666666666701" bottom="0.74791666666666701" header="0.51180555555555496" footer="0.51180555555555496"/>
  <pageSetup paperSize="9" firstPageNumber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view="pageBreakPreview" zoomScaleNormal="115" workbookViewId="0">
      <selection activeCell="I6" sqref="I6"/>
    </sheetView>
  </sheetViews>
  <sheetFormatPr defaultRowHeight="12.75" x14ac:dyDescent="0.2"/>
  <cols>
    <col min="1" max="1" width="30.85546875" style="89"/>
    <col min="2" max="2" width="6.5703125" style="89"/>
    <col min="3" max="3" width="9.85546875" style="89" customWidth="1"/>
    <col min="4" max="4" width="3.28515625" style="89"/>
    <col min="5" max="5" width="27.140625" style="89" customWidth="1"/>
    <col min="6" max="6" width="14.42578125" style="89" customWidth="1"/>
    <col min="7" max="7" width="11.42578125" style="232" customWidth="1"/>
    <col min="8" max="8" width="19.5703125" style="89" customWidth="1"/>
    <col min="9" max="9" width="9.5703125" style="232" bestFit="1" customWidth="1"/>
    <col min="10" max="1022" width="9" style="89"/>
  </cols>
  <sheetData>
    <row r="1" spans="1:1022" ht="15.75" x14ac:dyDescent="0.2">
      <c r="A1" s="294" t="s">
        <v>219</v>
      </c>
      <c r="B1" s="304"/>
      <c r="C1" s="304"/>
      <c r="D1" s="304"/>
      <c r="E1" s="304"/>
      <c r="F1" s="304"/>
      <c r="G1" s="304"/>
      <c r="H1" s="304"/>
      <c r="I1" s="264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  <c r="IV1" s="232"/>
      <c r="IW1" s="232"/>
      <c r="IX1" s="232"/>
      <c r="IY1" s="232"/>
      <c r="IZ1" s="232"/>
      <c r="JA1" s="232"/>
      <c r="JB1" s="232"/>
      <c r="JC1" s="232"/>
      <c r="JD1" s="232"/>
      <c r="JE1" s="232"/>
      <c r="JF1" s="232"/>
      <c r="JG1" s="232"/>
      <c r="JH1" s="232"/>
      <c r="JI1" s="232"/>
      <c r="JJ1" s="232"/>
      <c r="JK1" s="232"/>
      <c r="JL1" s="232"/>
      <c r="JM1" s="232"/>
      <c r="JN1" s="232"/>
      <c r="JO1" s="232"/>
      <c r="JP1" s="232"/>
      <c r="JQ1" s="232"/>
      <c r="JR1" s="232"/>
      <c r="JS1" s="232"/>
      <c r="JT1" s="232"/>
      <c r="JU1" s="232"/>
      <c r="JV1" s="232"/>
      <c r="JW1" s="232"/>
      <c r="JX1" s="232"/>
      <c r="JY1" s="232"/>
      <c r="JZ1" s="232"/>
      <c r="KA1" s="232"/>
      <c r="KB1" s="232"/>
      <c r="KC1" s="232"/>
      <c r="KD1" s="232"/>
      <c r="KE1" s="232"/>
      <c r="KF1" s="232"/>
      <c r="KG1" s="232"/>
      <c r="KH1" s="232"/>
      <c r="KI1" s="232"/>
      <c r="KJ1" s="232"/>
      <c r="KK1" s="232"/>
      <c r="KL1" s="232"/>
      <c r="KM1" s="232"/>
      <c r="KN1" s="232"/>
      <c r="KO1" s="232"/>
      <c r="KP1" s="232"/>
      <c r="KQ1" s="232"/>
      <c r="KR1" s="232"/>
      <c r="KS1" s="232"/>
      <c r="KT1" s="232"/>
      <c r="KU1" s="232"/>
      <c r="KV1" s="232"/>
      <c r="KW1" s="232"/>
      <c r="KX1" s="232"/>
      <c r="KY1" s="232"/>
      <c r="KZ1" s="232"/>
      <c r="LA1" s="232"/>
      <c r="LB1" s="232"/>
      <c r="LC1" s="232"/>
      <c r="LD1" s="232"/>
      <c r="LE1" s="232"/>
      <c r="LF1" s="232"/>
      <c r="LG1" s="232"/>
      <c r="LH1" s="232"/>
      <c r="LI1" s="232"/>
      <c r="LJ1" s="232"/>
      <c r="LK1" s="232"/>
      <c r="LL1" s="232"/>
      <c r="LM1" s="232"/>
      <c r="LN1" s="232"/>
      <c r="LO1" s="232"/>
      <c r="LP1" s="232"/>
      <c r="LQ1" s="232"/>
      <c r="LR1" s="232"/>
      <c r="LS1" s="232"/>
      <c r="LT1" s="232"/>
      <c r="LU1" s="232"/>
      <c r="LV1" s="232"/>
      <c r="LW1" s="232"/>
      <c r="LX1" s="232"/>
      <c r="LY1" s="232"/>
      <c r="LZ1" s="232"/>
      <c r="MA1" s="232"/>
      <c r="MB1" s="232"/>
      <c r="MC1" s="232"/>
      <c r="MD1" s="232"/>
      <c r="ME1" s="232"/>
      <c r="MF1" s="232"/>
      <c r="MG1" s="232"/>
      <c r="MH1" s="232"/>
      <c r="MI1" s="232"/>
      <c r="MJ1" s="232"/>
      <c r="MK1" s="232"/>
      <c r="ML1" s="232"/>
      <c r="MM1" s="232"/>
      <c r="MN1" s="232"/>
      <c r="MO1" s="232"/>
      <c r="MP1" s="232"/>
      <c r="MQ1" s="232"/>
      <c r="MR1" s="232"/>
      <c r="MS1" s="232"/>
      <c r="MT1" s="232"/>
      <c r="MU1" s="232"/>
      <c r="MV1" s="232"/>
      <c r="MW1" s="232"/>
      <c r="MX1" s="232"/>
      <c r="MY1" s="232"/>
      <c r="MZ1" s="232"/>
      <c r="NA1" s="232"/>
      <c r="NB1" s="232"/>
      <c r="NC1" s="232"/>
      <c r="ND1" s="232"/>
      <c r="NE1" s="232"/>
      <c r="NF1" s="232"/>
      <c r="NG1" s="232"/>
      <c r="NH1" s="232"/>
      <c r="NI1" s="232"/>
      <c r="NJ1" s="232"/>
      <c r="NK1" s="232"/>
      <c r="NL1" s="232"/>
      <c r="NM1" s="232"/>
      <c r="NN1" s="232"/>
      <c r="NO1" s="232"/>
      <c r="NP1" s="232"/>
      <c r="NQ1" s="232"/>
      <c r="NR1" s="232"/>
      <c r="NS1" s="232"/>
      <c r="NT1" s="232"/>
      <c r="NU1" s="232"/>
      <c r="NV1" s="232"/>
      <c r="NW1" s="232"/>
      <c r="NX1" s="232"/>
      <c r="NY1" s="232"/>
      <c r="NZ1" s="232"/>
      <c r="OA1" s="232"/>
      <c r="OB1" s="232"/>
      <c r="OC1" s="232"/>
      <c r="OD1" s="232"/>
      <c r="OE1" s="232"/>
      <c r="OF1" s="232"/>
      <c r="OG1" s="232"/>
      <c r="OH1" s="232"/>
      <c r="OI1" s="232"/>
      <c r="OJ1" s="232"/>
      <c r="OK1" s="232"/>
      <c r="OL1" s="232"/>
      <c r="OM1" s="232"/>
      <c r="ON1" s="232"/>
      <c r="OO1" s="232"/>
      <c r="OP1" s="232"/>
      <c r="OQ1" s="232"/>
      <c r="OR1" s="232"/>
      <c r="OS1" s="232"/>
      <c r="OT1" s="232"/>
      <c r="OU1" s="232"/>
      <c r="OV1" s="232"/>
      <c r="OW1" s="232"/>
      <c r="OX1" s="232"/>
      <c r="OY1" s="232"/>
      <c r="OZ1" s="232"/>
      <c r="PA1" s="232"/>
      <c r="PB1" s="232"/>
      <c r="PC1" s="232"/>
      <c r="PD1" s="232"/>
      <c r="PE1" s="232"/>
      <c r="PF1" s="232"/>
      <c r="PG1" s="232"/>
      <c r="PH1" s="232"/>
      <c r="PI1" s="232"/>
      <c r="PJ1" s="232"/>
      <c r="PK1" s="232"/>
      <c r="PL1" s="232"/>
      <c r="PM1" s="232"/>
      <c r="PN1" s="232"/>
      <c r="PO1" s="232"/>
      <c r="PP1" s="232"/>
      <c r="PQ1" s="232"/>
      <c r="PR1" s="232"/>
      <c r="PS1" s="232"/>
      <c r="PT1" s="232"/>
      <c r="PU1" s="232"/>
      <c r="PV1" s="232"/>
      <c r="PW1" s="232"/>
      <c r="PX1" s="232"/>
      <c r="PY1" s="232"/>
      <c r="PZ1" s="232"/>
      <c r="QA1" s="232"/>
      <c r="QB1" s="232"/>
      <c r="QC1" s="232"/>
      <c r="QD1" s="232"/>
      <c r="QE1" s="232"/>
      <c r="QF1" s="232"/>
      <c r="QG1" s="232"/>
      <c r="QH1" s="232"/>
      <c r="QI1" s="232"/>
      <c r="QJ1" s="232"/>
      <c r="QK1" s="232"/>
      <c r="QL1" s="232"/>
      <c r="QM1" s="232"/>
      <c r="QN1" s="232"/>
      <c r="QO1" s="232"/>
      <c r="QP1" s="232"/>
      <c r="QQ1" s="232"/>
      <c r="QR1" s="232"/>
      <c r="QS1" s="232"/>
      <c r="QT1" s="232"/>
      <c r="QU1" s="232"/>
      <c r="QV1" s="232"/>
      <c r="QW1" s="232"/>
      <c r="QX1" s="232"/>
      <c r="QY1" s="232"/>
      <c r="QZ1" s="232"/>
      <c r="RA1" s="232"/>
      <c r="RB1" s="232"/>
      <c r="RC1" s="232"/>
      <c r="RD1" s="232"/>
      <c r="RE1" s="232"/>
      <c r="RF1" s="232"/>
      <c r="RG1" s="232"/>
      <c r="RH1" s="232"/>
      <c r="RI1" s="232"/>
      <c r="RJ1" s="232"/>
      <c r="RK1" s="232"/>
      <c r="RL1" s="232"/>
      <c r="RM1" s="232"/>
      <c r="RN1" s="232"/>
      <c r="RO1" s="232"/>
      <c r="RP1" s="232"/>
      <c r="RQ1" s="232"/>
      <c r="RR1" s="232"/>
      <c r="RS1" s="232"/>
      <c r="RT1" s="232"/>
      <c r="RU1" s="232"/>
      <c r="RV1" s="232"/>
      <c r="RW1" s="232"/>
      <c r="RX1" s="232"/>
      <c r="RY1" s="232"/>
      <c r="RZ1" s="232"/>
      <c r="SA1" s="232"/>
      <c r="SB1" s="232"/>
      <c r="SC1" s="232"/>
      <c r="SD1" s="232"/>
      <c r="SE1" s="232"/>
      <c r="SF1" s="232"/>
      <c r="SG1" s="232"/>
      <c r="SH1" s="232"/>
      <c r="SI1" s="232"/>
      <c r="SJ1" s="232"/>
      <c r="SK1" s="232"/>
      <c r="SL1" s="232"/>
      <c r="SM1" s="232"/>
      <c r="SN1" s="232"/>
      <c r="SO1" s="232"/>
      <c r="SP1" s="232"/>
      <c r="SQ1" s="232"/>
      <c r="SR1" s="232"/>
      <c r="SS1" s="232"/>
      <c r="ST1" s="232"/>
      <c r="SU1" s="232"/>
      <c r="SV1" s="232"/>
      <c r="SW1" s="232"/>
      <c r="SX1" s="232"/>
      <c r="SY1" s="232"/>
      <c r="SZ1" s="232"/>
      <c r="TA1" s="232"/>
      <c r="TB1" s="232"/>
      <c r="TC1" s="232"/>
      <c r="TD1" s="232"/>
      <c r="TE1" s="232"/>
      <c r="TF1" s="232"/>
      <c r="TG1" s="232"/>
      <c r="TH1" s="232"/>
      <c r="TI1" s="232"/>
      <c r="TJ1" s="232"/>
      <c r="TK1" s="232"/>
      <c r="TL1" s="232"/>
      <c r="TM1" s="232"/>
      <c r="TN1" s="232"/>
      <c r="TO1" s="232"/>
      <c r="TP1" s="232"/>
      <c r="TQ1" s="232"/>
      <c r="TR1" s="232"/>
      <c r="TS1" s="232"/>
      <c r="TT1" s="232"/>
      <c r="TU1" s="232"/>
      <c r="TV1" s="232"/>
      <c r="TW1" s="232"/>
      <c r="TX1" s="232"/>
      <c r="TY1" s="232"/>
      <c r="TZ1" s="232"/>
      <c r="UA1" s="232"/>
      <c r="UB1" s="232"/>
      <c r="UC1" s="232"/>
      <c r="UD1" s="232"/>
      <c r="UE1" s="232"/>
      <c r="UF1" s="232"/>
      <c r="UG1" s="232"/>
      <c r="UH1" s="232"/>
      <c r="UI1" s="232"/>
      <c r="UJ1" s="232"/>
      <c r="UK1" s="232"/>
      <c r="UL1" s="232"/>
      <c r="UM1" s="232"/>
      <c r="UN1" s="232"/>
      <c r="UO1" s="232"/>
      <c r="UP1" s="232"/>
      <c r="UQ1" s="232"/>
      <c r="UR1" s="232"/>
      <c r="US1" s="232"/>
      <c r="UT1" s="232"/>
      <c r="UU1" s="232"/>
      <c r="UV1" s="232"/>
      <c r="UW1" s="232"/>
      <c r="UX1" s="232"/>
      <c r="UY1" s="232"/>
      <c r="UZ1" s="232"/>
      <c r="VA1" s="232"/>
      <c r="VB1" s="232"/>
      <c r="VC1" s="232"/>
      <c r="VD1" s="232"/>
      <c r="VE1" s="232"/>
      <c r="VF1" s="232"/>
      <c r="VG1" s="232"/>
      <c r="VH1" s="232"/>
      <c r="VI1" s="232"/>
      <c r="VJ1" s="232"/>
      <c r="VK1" s="232"/>
      <c r="VL1" s="232"/>
      <c r="VM1" s="232"/>
      <c r="VN1" s="232"/>
      <c r="VO1" s="232"/>
      <c r="VP1" s="232"/>
      <c r="VQ1" s="232"/>
      <c r="VR1" s="232"/>
      <c r="VS1" s="232"/>
      <c r="VT1" s="232"/>
      <c r="VU1" s="232"/>
      <c r="VV1" s="232"/>
      <c r="VW1" s="232"/>
      <c r="VX1" s="232"/>
      <c r="VY1" s="232"/>
      <c r="VZ1" s="232"/>
      <c r="WA1" s="232"/>
      <c r="WB1" s="232"/>
      <c r="WC1" s="232"/>
      <c r="WD1" s="232"/>
      <c r="WE1" s="232"/>
      <c r="WF1" s="232"/>
      <c r="WG1" s="232"/>
      <c r="WH1" s="232"/>
      <c r="WI1" s="232"/>
      <c r="WJ1" s="232"/>
      <c r="WK1" s="232"/>
      <c r="WL1" s="232"/>
      <c r="WM1" s="232"/>
      <c r="WN1" s="232"/>
      <c r="WO1" s="232"/>
      <c r="WP1" s="232"/>
      <c r="WQ1" s="232"/>
      <c r="WR1" s="232"/>
      <c r="WS1" s="232"/>
      <c r="WT1" s="232"/>
      <c r="WU1" s="232"/>
      <c r="WV1" s="232"/>
      <c r="WW1" s="232"/>
      <c r="WX1" s="232"/>
      <c r="WY1" s="232"/>
      <c r="WZ1" s="232"/>
      <c r="XA1" s="232"/>
      <c r="XB1" s="232"/>
      <c r="XC1" s="232"/>
      <c r="XD1" s="232"/>
      <c r="XE1" s="232"/>
      <c r="XF1" s="232"/>
      <c r="XG1" s="232"/>
      <c r="XH1" s="232"/>
      <c r="XI1" s="232"/>
      <c r="XJ1" s="232"/>
      <c r="XK1" s="232"/>
      <c r="XL1" s="232"/>
      <c r="XM1" s="232"/>
      <c r="XN1" s="232"/>
      <c r="XO1" s="232"/>
      <c r="XP1" s="232"/>
      <c r="XQ1" s="232"/>
      <c r="XR1" s="232"/>
      <c r="XS1" s="232"/>
      <c r="XT1" s="232"/>
      <c r="XU1" s="232"/>
      <c r="XV1" s="232"/>
      <c r="XW1" s="232"/>
      <c r="XX1" s="232"/>
      <c r="XY1" s="232"/>
      <c r="XZ1" s="232"/>
      <c r="YA1" s="232"/>
      <c r="YB1" s="232"/>
      <c r="YC1" s="232"/>
      <c r="YD1" s="232"/>
      <c r="YE1" s="232"/>
      <c r="YF1" s="232"/>
      <c r="YG1" s="232"/>
      <c r="YH1" s="232"/>
      <c r="YI1" s="232"/>
      <c r="YJ1" s="232"/>
      <c r="YK1" s="232"/>
      <c r="YL1" s="232"/>
      <c r="YM1" s="232"/>
      <c r="YN1" s="232"/>
      <c r="YO1" s="232"/>
      <c r="YP1" s="232"/>
      <c r="YQ1" s="232"/>
      <c r="YR1" s="232"/>
      <c r="YS1" s="232"/>
      <c r="YT1" s="232"/>
      <c r="YU1" s="232"/>
      <c r="YV1" s="232"/>
      <c r="YW1" s="232"/>
      <c r="YX1" s="232"/>
      <c r="YY1" s="232"/>
      <c r="YZ1" s="232"/>
      <c r="ZA1" s="232"/>
      <c r="ZB1" s="232"/>
      <c r="ZC1" s="232"/>
      <c r="ZD1" s="232"/>
      <c r="ZE1" s="232"/>
      <c r="ZF1" s="232"/>
      <c r="ZG1" s="232"/>
      <c r="ZH1" s="232"/>
      <c r="ZI1" s="232"/>
      <c r="ZJ1" s="232"/>
      <c r="ZK1" s="232"/>
      <c r="ZL1" s="232"/>
      <c r="ZM1" s="232"/>
      <c r="ZN1" s="232"/>
      <c r="ZO1" s="232"/>
      <c r="ZP1" s="232"/>
      <c r="ZQ1" s="232"/>
      <c r="ZR1" s="232"/>
      <c r="ZS1" s="232"/>
      <c r="ZT1" s="232"/>
      <c r="ZU1" s="232"/>
      <c r="ZV1" s="232"/>
      <c r="ZW1" s="232"/>
      <c r="ZX1" s="232"/>
      <c r="ZY1" s="232"/>
      <c r="ZZ1" s="232"/>
      <c r="AAA1" s="232"/>
      <c r="AAB1" s="232"/>
      <c r="AAC1" s="232"/>
      <c r="AAD1" s="232"/>
      <c r="AAE1" s="232"/>
      <c r="AAF1" s="232"/>
      <c r="AAG1" s="232"/>
      <c r="AAH1" s="232"/>
      <c r="AAI1" s="232"/>
      <c r="AAJ1" s="232"/>
      <c r="AAK1" s="232"/>
      <c r="AAL1" s="232"/>
      <c r="AAM1" s="232"/>
      <c r="AAN1" s="232"/>
      <c r="AAO1" s="232"/>
      <c r="AAP1" s="232"/>
      <c r="AAQ1" s="232"/>
      <c r="AAR1" s="232"/>
      <c r="AAS1" s="232"/>
      <c r="AAT1" s="232"/>
      <c r="AAU1" s="232"/>
      <c r="AAV1" s="232"/>
      <c r="AAW1" s="232"/>
      <c r="AAX1" s="232"/>
      <c r="AAY1" s="232"/>
      <c r="AAZ1" s="232"/>
      <c r="ABA1" s="232"/>
      <c r="ABB1" s="232"/>
      <c r="ABC1" s="232"/>
      <c r="ABD1" s="232"/>
      <c r="ABE1" s="232"/>
      <c r="ABF1" s="232"/>
      <c r="ABG1" s="232"/>
      <c r="ABH1" s="232"/>
      <c r="ABI1" s="232"/>
      <c r="ABJ1" s="232"/>
      <c r="ABK1" s="232"/>
      <c r="ABL1" s="232"/>
      <c r="ABM1" s="232"/>
      <c r="ABN1" s="232"/>
      <c r="ABO1" s="232"/>
      <c r="ABP1" s="232"/>
      <c r="ABQ1" s="232"/>
      <c r="ABR1" s="232"/>
      <c r="ABS1" s="232"/>
      <c r="ABT1" s="232"/>
      <c r="ABU1" s="232"/>
      <c r="ABV1" s="232"/>
      <c r="ABW1" s="232"/>
      <c r="ABX1" s="232"/>
      <c r="ABY1" s="232"/>
      <c r="ABZ1" s="232"/>
      <c r="ACA1" s="232"/>
      <c r="ACB1" s="232"/>
      <c r="ACC1" s="232"/>
      <c r="ACD1" s="232"/>
      <c r="ACE1" s="232"/>
      <c r="ACF1" s="232"/>
      <c r="ACG1" s="232"/>
      <c r="ACH1" s="232"/>
      <c r="ACI1" s="232"/>
      <c r="ACJ1" s="232"/>
      <c r="ACK1" s="232"/>
      <c r="ACL1" s="232"/>
      <c r="ACM1" s="232"/>
      <c r="ACN1" s="232"/>
      <c r="ACO1" s="232"/>
      <c r="ACP1" s="232"/>
      <c r="ACQ1" s="232"/>
      <c r="ACR1" s="232"/>
      <c r="ACS1" s="232"/>
      <c r="ACT1" s="232"/>
      <c r="ACU1" s="232"/>
      <c r="ACV1" s="232"/>
      <c r="ACW1" s="232"/>
      <c r="ACX1" s="232"/>
      <c r="ACY1" s="232"/>
      <c r="ACZ1" s="232"/>
      <c r="ADA1" s="232"/>
      <c r="ADB1" s="232"/>
      <c r="ADC1" s="232"/>
      <c r="ADD1" s="232"/>
      <c r="ADE1" s="232"/>
      <c r="ADF1" s="232"/>
      <c r="ADG1" s="232"/>
      <c r="ADH1" s="232"/>
      <c r="ADI1" s="232"/>
      <c r="ADJ1" s="232"/>
      <c r="ADK1" s="232"/>
      <c r="ADL1" s="232"/>
      <c r="ADM1" s="232"/>
      <c r="ADN1" s="232"/>
      <c r="ADO1" s="232"/>
      <c r="ADP1" s="232"/>
      <c r="ADQ1" s="232"/>
      <c r="ADR1" s="232"/>
      <c r="ADS1" s="232"/>
      <c r="ADT1" s="232"/>
      <c r="ADU1" s="232"/>
      <c r="ADV1" s="232"/>
      <c r="ADW1" s="232"/>
      <c r="ADX1" s="232"/>
      <c r="ADY1" s="232"/>
      <c r="ADZ1" s="232"/>
      <c r="AEA1" s="232"/>
      <c r="AEB1" s="232"/>
      <c r="AEC1" s="232"/>
      <c r="AED1" s="232"/>
      <c r="AEE1" s="232"/>
      <c r="AEF1" s="232"/>
      <c r="AEG1" s="232"/>
      <c r="AEH1" s="232"/>
      <c r="AEI1" s="232"/>
      <c r="AEJ1" s="232"/>
      <c r="AEK1" s="232"/>
      <c r="AEL1" s="232"/>
      <c r="AEM1" s="232"/>
      <c r="AEN1" s="232"/>
      <c r="AEO1" s="232"/>
      <c r="AEP1" s="232"/>
      <c r="AEQ1" s="232"/>
      <c r="AER1" s="232"/>
      <c r="AES1" s="232"/>
      <c r="AET1" s="232"/>
      <c r="AEU1" s="232"/>
      <c r="AEV1" s="232"/>
      <c r="AEW1" s="232"/>
      <c r="AEX1" s="232"/>
      <c r="AEY1" s="232"/>
      <c r="AEZ1" s="232"/>
      <c r="AFA1" s="232"/>
      <c r="AFB1" s="232"/>
      <c r="AFC1" s="232"/>
      <c r="AFD1" s="232"/>
      <c r="AFE1" s="232"/>
      <c r="AFF1" s="232"/>
      <c r="AFG1" s="232"/>
      <c r="AFH1" s="232"/>
      <c r="AFI1" s="232"/>
      <c r="AFJ1" s="232"/>
      <c r="AFK1" s="232"/>
      <c r="AFL1" s="232"/>
      <c r="AFM1" s="232"/>
      <c r="AFN1" s="232"/>
      <c r="AFO1" s="232"/>
      <c r="AFP1" s="232"/>
      <c r="AFQ1" s="232"/>
      <c r="AFR1" s="232"/>
      <c r="AFS1" s="232"/>
      <c r="AFT1" s="232"/>
      <c r="AFU1" s="232"/>
      <c r="AFV1" s="232"/>
      <c r="AFW1" s="232"/>
      <c r="AFX1" s="232"/>
      <c r="AFY1" s="232"/>
      <c r="AFZ1" s="232"/>
      <c r="AGA1" s="232"/>
      <c r="AGB1" s="232"/>
      <c r="AGC1" s="232"/>
      <c r="AGD1" s="232"/>
      <c r="AGE1" s="232"/>
      <c r="AGF1" s="232"/>
      <c r="AGG1" s="232"/>
      <c r="AGH1" s="232"/>
      <c r="AGI1" s="232"/>
      <c r="AGJ1" s="232"/>
      <c r="AGK1" s="232"/>
      <c r="AGL1" s="232"/>
      <c r="AGM1" s="232"/>
      <c r="AGN1" s="232"/>
      <c r="AGO1" s="232"/>
      <c r="AGP1" s="232"/>
      <c r="AGQ1" s="232"/>
      <c r="AGR1" s="232"/>
      <c r="AGS1" s="232"/>
      <c r="AGT1" s="232"/>
      <c r="AGU1" s="232"/>
      <c r="AGV1" s="232"/>
      <c r="AGW1" s="232"/>
      <c r="AGX1" s="232"/>
      <c r="AGY1" s="232"/>
      <c r="AGZ1" s="232"/>
      <c r="AHA1" s="232"/>
      <c r="AHB1" s="232"/>
      <c r="AHC1" s="232"/>
      <c r="AHD1" s="232"/>
      <c r="AHE1" s="232"/>
      <c r="AHF1" s="232"/>
      <c r="AHG1" s="232"/>
      <c r="AHH1" s="232"/>
      <c r="AHI1" s="232"/>
      <c r="AHJ1" s="232"/>
      <c r="AHK1" s="232"/>
      <c r="AHL1" s="232"/>
      <c r="AHM1" s="232"/>
      <c r="AHN1" s="232"/>
      <c r="AHO1" s="232"/>
      <c r="AHP1" s="232"/>
      <c r="AHQ1" s="232"/>
      <c r="AHR1" s="232"/>
      <c r="AHS1" s="232"/>
      <c r="AHT1" s="232"/>
      <c r="AHU1" s="232"/>
      <c r="AHV1" s="232"/>
      <c r="AHW1" s="232"/>
      <c r="AHX1" s="232"/>
      <c r="AHY1" s="232"/>
      <c r="AHZ1" s="232"/>
      <c r="AIA1" s="232"/>
      <c r="AIB1" s="232"/>
      <c r="AIC1" s="232"/>
      <c r="AID1" s="232"/>
      <c r="AIE1" s="232"/>
      <c r="AIF1" s="232"/>
      <c r="AIG1" s="232"/>
      <c r="AIH1" s="232"/>
      <c r="AII1" s="232"/>
      <c r="AIJ1" s="232"/>
      <c r="AIK1" s="232"/>
      <c r="AIL1" s="232"/>
      <c r="AIM1" s="232"/>
      <c r="AIN1" s="232"/>
      <c r="AIO1" s="232"/>
      <c r="AIP1" s="232"/>
      <c r="AIQ1" s="232"/>
      <c r="AIR1" s="232"/>
      <c r="AIS1" s="232"/>
      <c r="AIT1" s="232"/>
      <c r="AIU1" s="232"/>
      <c r="AIV1" s="232"/>
      <c r="AIW1" s="232"/>
      <c r="AIX1" s="232"/>
      <c r="AIY1" s="232"/>
      <c r="AIZ1" s="232"/>
      <c r="AJA1" s="232"/>
      <c r="AJB1" s="232"/>
      <c r="AJC1" s="232"/>
      <c r="AJD1" s="232"/>
      <c r="AJE1" s="232"/>
      <c r="AJF1" s="232"/>
      <c r="AJG1" s="232"/>
      <c r="AJH1" s="232"/>
      <c r="AJI1" s="232"/>
      <c r="AJJ1" s="232"/>
      <c r="AJK1" s="232"/>
      <c r="AJL1" s="232"/>
      <c r="AJM1" s="232"/>
      <c r="AJN1" s="232"/>
      <c r="AJO1" s="232"/>
      <c r="AJP1" s="232"/>
      <c r="AJQ1" s="232"/>
      <c r="AJR1" s="232"/>
      <c r="AJS1" s="232"/>
      <c r="AJT1" s="232"/>
      <c r="AJU1" s="232"/>
      <c r="AJV1" s="232"/>
      <c r="AJW1" s="232"/>
      <c r="AJX1" s="232"/>
      <c r="AJY1" s="232"/>
      <c r="AJZ1" s="232"/>
      <c r="AKA1" s="232"/>
      <c r="AKB1" s="232"/>
      <c r="AKC1" s="232"/>
      <c r="AKD1" s="232"/>
      <c r="AKE1" s="232"/>
      <c r="AKF1" s="232"/>
      <c r="AKG1" s="232"/>
      <c r="AKH1" s="232"/>
      <c r="AKI1" s="232"/>
      <c r="AKJ1" s="232"/>
      <c r="AKK1" s="232"/>
      <c r="AKL1" s="232"/>
      <c r="AKM1" s="232"/>
      <c r="AKN1" s="232"/>
      <c r="AKO1" s="232"/>
      <c r="AKP1" s="232"/>
      <c r="AKQ1" s="232"/>
      <c r="AKR1" s="232"/>
      <c r="AKS1" s="232"/>
      <c r="AKT1" s="232"/>
      <c r="AKU1" s="232"/>
      <c r="AKV1" s="232"/>
      <c r="AKW1" s="232"/>
      <c r="AKX1" s="232"/>
      <c r="AKY1" s="232"/>
      <c r="AKZ1" s="232"/>
      <c r="ALA1" s="232"/>
      <c r="ALB1" s="232"/>
      <c r="ALC1" s="232"/>
      <c r="ALD1" s="232"/>
      <c r="ALE1" s="232"/>
      <c r="ALF1" s="232"/>
      <c r="ALG1" s="232"/>
      <c r="ALH1" s="232"/>
      <c r="ALI1" s="232"/>
      <c r="ALJ1" s="232"/>
      <c r="ALK1" s="232"/>
      <c r="ALL1" s="232"/>
      <c r="ALM1" s="232"/>
      <c r="ALN1" s="232"/>
      <c r="ALO1" s="232"/>
      <c r="ALP1" s="232"/>
      <c r="ALQ1" s="232"/>
      <c r="ALR1" s="232"/>
      <c r="ALS1" s="232"/>
      <c r="ALT1" s="232"/>
      <c r="ALU1" s="232"/>
      <c r="ALV1" s="232"/>
      <c r="ALW1" s="232"/>
      <c r="ALX1" s="232"/>
      <c r="ALY1" s="232"/>
      <c r="ALZ1" s="232"/>
      <c r="AMA1" s="232"/>
      <c r="AMB1" s="232"/>
      <c r="AMC1" s="232"/>
      <c r="AMD1" s="232"/>
      <c r="AME1" s="232"/>
      <c r="AMF1" s="232"/>
      <c r="AMG1" s="232"/>
      <c r="AMH1" s="232"/>
    </row>
    <row r="2" spans="1:1022" x14ac:dyDescent="0.2">
      <c r="A2" s="232"/>
      <c r="B2" s="232"/>
      <c r="C2" s="232"/>
      <c r="D2" s="232"/>
      <c r="E2" s="232"/>
      <c r="F2" s="232"/>
      <c r="H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  <c r="IW2" s="232"/>
      <c r="IX2" s="232"/>
      <c r="IY2" s="232"/>
      <c r="IZ2" s="232"/>
      <c r="JA2" s="232"/>
      <c r="JB2" s="232"/>
      <c r="JC2" s="232"/>
      <c r="JD2" s="232"/>
      <c r="JE2" s="232"/>
      <c r="JF2" s="232"/>
      <c r="JG2" s="232"/>
      <c r="JH2" s="232"/>
      <c r="JI2" s="232"/>
      <c r="JJ2" s="232"/>
      <c r="JK2" s="232"/>
      <c r="JL2" s="232"/>
      <c r="JM2" s="232"/>
      <c r="JN2" s="232"/>
      <c r="JO2" s="232"/>
      <c r="JP2" s="232"/>
      <c r="JQ2" s="232"/>
      <c r="JR2" s="232"/>
      <c r="JS2" s="232"/>
      <c r="JT2" s="232"/>
      <c r="JU2" s="232"/>
      <c r="JV2" s="232"/>
      <c r="JW2" s="232"/>
      <c r="JX2" s="232"/>
      <c r="JY2" s="232"/>
      <c r="JZ2" s="232"/>
      <c r="KA2" s="232"/>
      <c r="KB2" s="232"/>
      <c r="KC2" s="232"/>
      <c r="KD2" s="232"/>
      <c r="KE2" s="232"/>
      <c r="KF2" s="232"/>
      <c r="KG2" s="232"/>
      <c r="KH2" s="232"/>
      <c r="KI2" s="232"/>
      <c r="KJ2" s="232"/>
      <c r="KK2" s="232"/>
      <c r="KL2" s="232"/>
      <c r="KM2" s="232"/>
      <c r="KN2" s="232"/>
      <c r="KO2" s="232"/>
      <c r="KP2" s="232"/>
      <c r="KQ2" s="232"/>
      <c r="KR2" s="232"/>
      <c r="KS2" s="232"/>
      <c r="KT2" s="232"/>
      <c r="KU2" s="232"/>
      <c r="KV2" s="232"/>
      <c r="KW2" s="232"/>
      <c r="KX2" s="232"/>
      <c r="KY2" s="232"/>
      <c r="KZ2" s="232"/>
      <c r="LA2" s="232"/>
      <c r="LB2" s="232"/>
      <c r="LC2" s="232"/>
      <c r="LD2" s="232"/>
      <c r="LE2" s="232"/>
      <c r="LF2" s="232"/>
      <c r="LG2" s="232"/>
      <c r="LH2" s="232"/>
      <c r="LI2" s="232"/>
      <c r="LJ2" s="232"/>
      <c r="LK2" s="232"/>
      <c r="LL2" s="232"/>
      <c r="LM2" s="232"/>
      <c r="LN2" s="232"/>
      <c r="LO2" s="232"/>
      <c r="LP2" s="232"/>
      <c r="LQ2" s="232"/>
      <c r="LR2" s="232"/>
      <c r="LS2" s="232"/>
      <c r="LT2" s="232"/>
      <c r="LU2" s="232"/>
      <c r="LV2" s="232"/>
      <c r="LW2" s="232"/>
      <c r="LX2" s="232"/>
      <c r="LY2" s="232"/>
      <c r="LZ2" s="232"/>
      <c r="MA2" s="232"/>
      <c r="MB2" s="232"/>
      <c r="MC2" s="232"/>
      <c r="MD2" s="232"/>
      <c r="ME2" s="232"/>
      <c r="MF2" s="232"/>
      <c r="MG2" s="232"/>
      <c r="MH2" s="232"/>
      <c r="MI2" s="232"/>
      <c r="MJ2" s="232"/>
      <c r="MK2" s="232"/>
      <c r="ML2" s="232"/>
      <c r="MM2" s="232"/>
      <c r="MN2" s="232"/>
      <c r="MO2" s="232"/>
      <c r="MP2" s="232"/>
      <c r="MQ2" s="232"/>
      <c r="MR2" s="232"/>
      <c r="MS2" s="232"/>
      <c r="MT2" s="232"/>
      <c r="MU2" s="232"/>
      <c r="MV2" s="232"/>
      <c r="MW2" s="232"/>
      <c r="MX2" s="232"/>
      <c r="MY2" s="232"/>
      <c r="MZ2" s="232"/>
      <c r="NA2" s="232"/>
      <c r="NB2" s="232"/>
      <c r="NC2" s="232"/>
      <c r="ND2" s="232"/>
      <c r="NE2" s="232"/>
      <c r="NF2" s="232"/>
      <c r="NG2" s="232"/>
      <c r="NH2" s="232"/>
      <c r="NI2" s="232"/>
      <c r="NJ2" s="232"/>
      <c r="NK2" s="232"/>
      <c r="NL2" s="232"/>
      <c r="NM2" s="232"/>
      <c r="NN2" s="232"/>
      <c r="NO2" s="232"/>
      <c r="NP2" s="232"/>
      <c r="NQ2" s="232"/>
      <c r="NR2" s="232"/>
      <c r="NS2" s="232"/>
      <c r="NT2" s="232"/>
      <c r="NU2" s="232"/>
      <c r="NV2" s="232"/>
      <c r="NW2" s="232"/>
      <c r="NX2" s="232"/>
      <c r="NY2" s="232"/>
      <c r="NZ2" s="232"/>
      <c r="OA2" s="232"/>
      <c r="OB2" s="232"/>
      <c r="OC2" s="232"/>
      <c r="OD2" s="232"/>
      <c r="OE2" s="232"/>
      <c r="OF2" s="232"/>
      <c r="OG2" s="232"/>
      <c r="OH2" s="232"/>
      <c r="OI2" s="232"/>
      <c r="OJ2" s="232"/>
      <c r="OK2" s="232"/>
      <c r="OL2" s="232"/>
      <c r="OM2" s="232"/>
      <c r="ON2" s="232"/>
      <c r="OO2" s="232"/>
      <c r="OP2" s="232"/>
      <c r="OQ2" s="232"/>
      <c r="OR2" s="232"/>
      <c r="OS2" s="232"/>
      <c r="OT2" s="232"/>
      <c r="OU2" s="232"/>
      <c r="OV2" s="232"/>
      <c r="OW2" s="232"/>
      <c r="OX2" s="232"/>
      <c r="OY2" s="232"/>
      <c r="OZ2" s="232"/>
      <c r="PA2" s="232"/>
      <c r="PB2" s="232"/>
      <c r="PC2" s="232"/>
      <c r="PD2" s="232"/>
      <c r="PE2" s="232"/>
      <c r="PF2" s="232"/>
      <c r="PG2" s="232"/>
      <c r="PH2" s="232"/>
      <c r="PI2" s="232"/>
      <c r="PJ2" s="232"/>
      <c r="PK2" s="232"/>
      <c r="PL2" s="232"/>
      <c r="PM2" s="232"/>
      <c r="PN2" s="232"/>
      <c r="PO2" s="232"/>
      <c r="PP2" s="232"/>
      <c r="PQ2" s="232"/>
      <c r="PR2" s="232"/>
      <c r="PS2" s="232"/>
      <c r="PT2" s="232"/>
      <c r="PU2" s="232"/>
      <c r="PV2" s="232"/>
      <c r="PW2" s="232"/>
      <c r="PX2" s="232"/>
      <c r="PY2" s="232"/>
      <c r="PZ2" s="232"/>
      <c r="QA2" s="232"/>
      <c r="QB2" s="232"/>
      <c r="QC2" s="232"/>
      <c r="QD2" s="232"/>
      <c r="QE2" s="232"/>
      <c r="QF2" s="232"/>
      <c r="QG2" s="232"/>
      <c r="QH2" s="232"/>
      <c r="QI2" s="232"/>
      <c r="QJ2" s="232"/>
      <c r="QK2" s="232"/>
      <c r="QL2" s="232"/>
      <c r="QM2" s="232"/>
      <c r="QN2" s="232"/>
      <c r="QO2" s="232"/>
      <c r="QP2" s="232"/>
      <c r="QQ2" s="232"/>
      <c r="QR2" s="232"/>
      <c r="QS2" s="232"/>
      <c r="QT2" s="232"/>
      <c r="QU2" s="232"/>
      <c r="QV2" s="232"/>
      <c r="QW2" s="232"/>
      <c r="QX2" s="232"/>
      <c r="QY2" s="232"/>
      <c r="QZ2" s="232"/>
      <c r="RA2" s="232"/>
      <c r="RB2" s="232"/>
      <c r="RC2" s="232"/>
      <c r="RD2" s="232"/>
      <c r="RE2" s="232"/>
      <c r="RF2" s="232"/>
      <c r="RG2" s="232"/>
      <c r="RH2" s="232"/>
      <c r="RI2" s="232"/>
      <c r="RJ2" s="232"/>
      <c r="RK2" s="232"/>
      <c r="RL2" s="232"/>
      <c r="RM2" s="232"/>
      <c r="RN2" s="232"/>
      <c r="RO2" s="232"/>
      <c r="RP2" s="232"/>
      <c r="RQ2" s="232"/>
      <c r="RR2" s="232"/>
      <c r="RS2" s="232"/>
      <c r="RT2" s="232"/>
      <c r="RU2" s="232"/>
      <c r="RV2" s="232"/>
      <c r="RW2" s="232"/>
      <c r="RX2" s="232"/>
      <c r="RY2" s="232"/>
      <c r="RZ2" s="232"/>
      <c r="SA2" s="232"/>
      <c r="SB2" s="232"/>
      <c r="SC2" s="232"/>
      <c r="SD2" s="232"/>
      <c r="SE2" s="232"/>
      <c r="SF2" s="232"/>
      <c r="SG2" s="232"/>
      <c r="SH2" s="232"/>
      <c r="SI2" s="232"/>
      <c r="SJ2" s="232"/>
      <c r="SK2" s="232"/>
      <c r="SL2" s="232"/>
      <c r="SM2" s="232"/>
      <c r="SN2" s="232"/>
      <c r="SO2" s="232"/>
      <c r="SP2" s="232"/>
      <c r="SQ2" s="232"/>
      <c r="SR2" s="232"/>
      <c r="SS2" s="232"/>
      <c r="ST2" s="232"/>
      <c r="SU2" s="232"/>
      <c r="SV2" s="232"/>
      <c r="SW2" s="232"/>
      <c r="SX2" s="232"/>
      <c r="SY2" s="232"/>
      <c r="SZ2" s="232"/>
      <c r="TA2" s="232"/>
      <c r="TB2" s="232"/>
      <c r="TC2" s="232"/>
      <c r="TD2" s="232"/>
      <c r="TE2" s="232"/>
      <c r="TF2" s="232"/>
      <c r="TG2" s="232"/>
      <c r="TH2" s="232"/>
      <c r="TI2" s="232"/>
      <c r="TJ2" s="232"/>
      <c r="TK2" s="232"/>
      <c r="TL2" s="232"/>
      <c r="TM2" s="232"/>
      <c r="TN2" s="232"/>
      <c r="TO2" s="232"/>
      <c r="TP2" s="232"/>
      <c r="TQ2" s="232"/>
      <c r="TR2" s="232"/>
      <c r="TS2" s="232"/>
      <c r="TT2" s="232"/>
      <c r="TU2" s="232"/>
      <c r="TV2" s="232"/>
      <c r="TW2" s="232"/>
      <c r="TX2" s="232"/>
      <c r="TY2" s="232"/>
      <c r="TZ2" s="232"/>
      <c r="UA2" s="232"/>
      <c r="UB2" s="232"/>
      <c r="UC2" s="232"/>
      <c r="UD2" s="232"/>
      <c r="UE2" s="232"/>
      <c r="UF2" s="232"/>
      <c r="UG2" s="232"/>
      <c r="UH2" s="232"/>
      <c r="UI2" s="232"/>
      <c r="UJ2" s="232"/>
      <c r="UK2" s="232"/>
      <c r="UL2" s="232"/>
      <c r="UM2" s="232"/>
      <c r="UN2" s="232"/>
      <c r="UO2" s="232"/>
      <c r="UP2" s="232"/>
      <c r="UQ2" s="232"/>
      <c r="UR2" s="232"/>
      <c r="US2" s="232"/>
      <c r="UT2" s="232"/>
      <c r="UU2" s="232"/>
      <c r="UV2" s="232"/>
      <c r="UW2" s="232"/>
      <c r="UX2" s="232"/>
      <c r="UY2" s="232"/>
      <c r="UZ2" s="232"/>
      <c r="VA2" s="232"/>
      <c r="VB2" s="232"/>
      <c r="VC2" s="232"/>
      <c r="VD2" s="232"/>
      <c r="VE2" s="232"/>
      <c r="VF2" s="232"/>
      <c r="VG2" s="232"/>
      <c r="VH2" s="232"/>
      <c r="VI2" s="232"/>
      <c r="VJ2" s="232"/>
      <c r="VK2" s="232"/>
      <c r="VL2" s="232"/>
      <c r="VM2" s="232"/>
      <c r="VN2" s="232"/>
      <c r="VO2" s="232"/>
      <c r="VP2" s="232"/>
      <c r="VQ2" s="232"/>
      <c r="VR2" s="232"/>
      <c r="VS2" s="232"/>
      <c r="VT2" s="232"/>
      <c r="VU2" s="232"/>
      <c r="VV2" s="232"/>
      <c r="VW2" s="232"/>
      <c r="VX2" s="232"/>
      <c r="VY2" s="232"/>
      <c r="VZ2" s="232"/>
      <c r="WA2" s="232"/>
      <c r="WB2" s="232"/>
      <c r="WC2" s="232"/>
      <c r="WD2" s="232"/>
      <c r="WE2" s="232"/>
      <c r="WF2" s="232"/>
      <c r="WG2" s="232"/>
      <c r="WH2" s="232"/>
      <c r="WI2" s="232"/>
      <c r="WJ2" s="232"/>
      <c r="WK2" s="232"/>
      <c r="WL2" s="232"/>
      <c r="WM2" s="232"/>
      <c r="WN2" s="232"/>
      <c r="WO2" s="232"/>
      <c r="WP2" s="232"/>
      <c r="WQ2" s="232"/>
      <c r="WR2" s="232"/>
      <c r="WS2" s="232"/>
      <c r="WT2" s="232"/>
      <c r="WU2" s="232"/>
      <c r="WV2" s="232"/>
      <c r="WW2" s="232"/>
      <c r="WX2" s="232"/>
      <c r="WY2" s="232"/>
      <c r="WZ2" s="232"/>
      <c r="XA2" s="232"/>
      <c r="XB2" s="232"/>
      <c r="XC2" s="232"/>
      <c r="XD2" s="232"/>
      <c r="XE2" s="232"/>
      <c r="XF2" s="232"/>
      <c r="XG2" s="232"/>
      <c r="XH2" s="232"/>
      <c r="XI2" s="232"/>
      <c r="XJ2" s="232"/>
      <c r="XK2" s="232"/>
      <c r="XL2" s="232"/>
      <c r="XM2" s="232"/>
      <c r="XN2" s="232"/>
      <c r="XO2" s="232"/>
      <c r="XP2" s="232"/>
      <c r="XQ2" s="232"/>
      <c r="XR2" s="232"/>
      <c r="XS2" s="232"/>
      <c r="XT2" s="232"/>
      <c r="XU2" s="232"/>
      <c r="XV2" s="232"/>
      <c r="XW2" s="232"/>
      <c r="XX2" s="232"/>
      <c r="XY2" s="232"/>
      <c r="XZ2" s="232"/>
      <c r="YA2" s="232"/>
      <c r="YB2" s="232"/>
      <c r="YC2" s="232"/>
      <c r="YD2" s="232"/>
      <c r="YE2" s="232"/>
      <c r="YF2" s="232"/>
      <c r="YG2" s="232"/>
      <c r="YH2" s="232"/>
      <c r="YI2" s="232"/>
      <c r="YJ2" s="232"/>
      <c r="YK2" s="232"/>
      <c r="YL2" s="232"/>
      <c r="YM2" s="232"/>
      <c r="YN2" s="232"/>
      <c r="YO2" s="232"/>
      <c r="YP2" s="232"/>
      <c r="YQ2" s="232"/>
      <c r="YR2" s="232"/>
      <c r="YS2" s="232"/>
      <c r="YT2" s="232"/>
      <c r="YU2" s="232"/>
      <c r="YV2" s="232"/>
      <c r="YW2" s="232"/>
      <c r="YX2" s="232"/>
      <c r="YY2" s="232"/>
      <c r="YZ2" s="232"/>
      <c r="ZA2" s="232"/>
      <c r="ZB2" s="232"/>
      <c r="ZC2" s="232"/>
      <c r="ZD2" s="232"/>
      <c r="ZE2" s="232"/>
      <c r="ZF2" s="232"/>
      <c r="ZG2" s="232"/>
      <c r="ZH2" s="232"/>
      <c r="ZI2" s="232"/>
      <c r="ZJ2" s="232"/>
      <c r="ZK2" s="232"/>
      <c r="ZL2" s="232"/>
      <c r="ZM2" s="232"/>
      <c r="ZN2" s="232"/>
      <c r="ZO2" s="232"/>
      <c r="ZP2" s="232"/>
      <c r="ZQ2" s="232"/>
      <c r="ZR2" s="232"/>
      <c r="ZS2" s="232"/>
      <c r="ZT2" s="232"/>
      <c r="ZU2" s="232"/>
      <c r="ZV2" s="232"/>
      <c r="ZW2" s="232"/>
      <c r="ZX2" s="232"/>
      <c r="ZY2" s="232"/>
      <c r="ZZ2" s="232"/>
      <c r="AAA2" s="232"/>
      <c r="AAB2" s="232"/>
      <c r="AAC2" s="232"/>
      <c r="AAD2" s="232"/>
      <c r="AAE2" s="232"/>
      <c r="AAF2" s="232"/>
      <c r="AAG2" s="232"/>
      <c r="AAH2" s="232"/>
      <c r="AAI2" s="232"/>
      <c r="AAJ2" s="232"/>
      <c r="AAK2" s="232"/>
      <c r="AAL2" s="232"/>
      <c r="AAM2" s="232"/>
      <c r="AAN2" s="232"/>
      <c r="AAO2" s="232"/>
      <c r="AAP2" s="232"/>
      <c r="AAQ2" s="232"/>
      <c r="AAR2" s="232"/>
      <c r="AAS2" s="232"/>
      <c r="AAT2" s="232"/>
      <c r="AAU2" s="232"/>
      <c r="AAV2" s="232"/>
      <c r="AAW2" s="232"/>
      <c r="AAX2" s="232"/>
      <c r="AAY2" s="232"/>
      <c r="AAZ2" s="232"/>
      <c r="ABA2" s="232"/>
      <c r="ABB2" s="232"/>
      <c r="ABC2" s="232"/>
      <c r="ABD2" s="232"/>
      <c r="ABE2" s="232"/>
      <c r="ABF2" s="232"/>
      <c r="ABG2" s="232"/>
      <c r="ABH2" s="232"/>
      <c r="ABI2" s="232"/>
      <c r="ABJ2" s="232"/>
      <c r="ABK2" s="232"/>
      <c r="ABL2" s="232"/>
      <c r="ABM2" s="232"/>
      <c r="ABN2" s="232"/>
      <c r="ABO2" s="232"/>
      <c r="ABP2" s="232"/>
      <c r="ABQ2" s="232"/>
      <c r="ABR2" s="232"/>
      <c r="ABS2" s="232"/>
      <c r="ABT2" s="232"/>
      <c r="ABU2" s="232"/>
      <c r="ABV2" s="232"/>
      <c r="ABW2" s="232"/>
      <c r="ABX2" s="232"/>
      <c r="ABY2" s="232"/>
      <c r="ABZ2" s="232"/>
      <c r="ACA2" s="232"/>
      <c r="ACB2" s="232"/>
      <c r="ACC2" s="232"/>
      <c r="ACD2" s="232"/>
      <c r="ACE2" s="232"/>
      <c r="ACF2" s="232"/>
      <c r="ACG2" s="232"/>
      <c r="ACH2" s="232"/>
      <c r="ACI2" s="232"/>
      <c r="ACJ2" s="232"/>
      <c r="ACK2" s="232"/>
      <c r="ACL2" s="232"/>
      <c r="ACM2" s="232"/>
      <c r="ACN2" s="232"/>
      <c r="ACO2" s="232"/>
      <c r="ACP2" s="232"/>
      <c r="ACQ2" s="232"/>
      <c r="ACR2" s="232"/>
      <c r="ACS2" s="232"/>
      <c r="ACT2" s="232"/>
      <c r="ACU2" s="232"/>
      <c r="ACV2" s="232"/>
      <c r="ACW2" s="232"/>
      <c r="ACX2" s="232"/>
      <c r="ACY2" s="232"/>
      <c r="ACZ2" s="232"/>
      <c r="ADA2" s="232"/>
      <c r="ADB2" s="232"/>
      <c r="ADC2" s="232"/>
      <c r="ADD2" s="232"/>
      <c r="ADE2" s="232"/>
      <c r="ADF2" s="232"/>
      <c r="ADG2" s="232"/>
      <c r="ADH2" s="232"/>
      <c r="ADI2" s="232"/>
      <c r="ADJ2" s="232"/>
      <c r="ADK2" s="232"/>
      <c r="ADL2" s="232"/>
      <c r="ADM2" s="232"/>
      <c r="ADN2" s="232"/>
      <c r="ADO2" s="232"/>
      <c r="ADP2" s="232"/>
      <c r="ADQ2" s="232"/>
      <c r="ADR2" s="232"/>
      <c r="ADS2" s="232"/>
      <c r="ADT2" s="232"/>
      <c r="ADU2" s="232"/>
      <c r="ADV2" s="232"/>
      <c r="ADW2" s="232"/>
      <c r="ADX2" s="232"/>
      <c r="ADY2" s="232"/>
      <c r="ADZ2" s="232"/>
      <c r="AEA2" s="232"/>
      <c r="AEB2" s="232"/>
      <c r="AEC2" s="232"/>
      <c r="AED2" s="232"/>
      <c r="AEE2" s="232"/>
      <c r="AEF2" s="232"/>
      <c r="AEG2" s="232"/>
      <c r="AEH2" s="232"/>
      <c r="AEI2" s="232"/>
      <c r="AEJ2" s="232"/>
      <c r="AEK2" s="232"/>
      <c r="AEL2" s="232"/>
      <c r="AEM2" s="232"/>
      <c r="AEN2" s="232"/>
      <c r="AEO2" s="232"/>
      <c r="AEP2" s="232"/>
      <c r="AEQ2" s="232"/>
      <c r="AER2" s="232"/>
      <c r="AES2" s="232"/>
      <c r="AET2" s="232"/>
      <c r="AEU2" s="232"/>
      <c r="AEV2" s="232"/>
      <c r="AEW2" s="232"/>
      <c r="AEX2" s="232"/>
      <c r="AEY2" s="232"/>
      <c r="AEZ2" s="232"/>
      <c r="AFA2" s="232"/>
      <c r="AFB2" s="232"/>
      <c r="AFC2" s="232"/>
      <c r="AFD2" s="232"/>
      <c r="AFE2" s="232"/>
      <c r="AFF2" s="232"/>
      <c r="AFG2" s="232"/>
      <c r="AFH2" s="232"/>
      <c r="AFI2" s="232"/>
      <c r="AFJ2" s="232"/>
      <c r="AFK2" s="232"/>
      <c r="AFL2" s="232"/>
      <c r="AFM2" s="232"/>
      <c r="AFN2" s="232"/>
      <c r="AFO2" s="232"/>
      <c r="AFP2" s="232"/>
      <c r="AFQ2" s="232"/>
      <c r="AFR2" s="232"/>
      <c r="AFS2" s="232"/>
      <c r="AFT2" s="232"/>
      <c r="AFU2" s="232"/>
      <c r="AFV2" s="232"/>
      <c r="AFW2" s="232"/>
      <c r="AFX2" s="232"/>
      <c r="AFY2" s="232"/>
      <c r="AFZ2" s="232"/>
      <c r="AGA2" s="232"/>
      <c r="AGB2" s="232"/>
      <c r="AGC2" s="232"/>
      <c r="AGD2" s="232"/>
      <c r="AGE2" s="232"/>
      <c r="AGF2" s="232"/>
      <c r="AGG2" s="232"/>
      <c r="AGH2" s="232"/>
      <c r="AGI2" s="232"/>
      <c r="AGJ2" s="232"/>
      <c r="AGK2" s="232"/>
      <c r="AGL2" s="232"/>
      <c r="AGM2" s="232"/>
      <c r="AGN2" s="232"/>
      <c r="AGO2" s="232"/>
      <c r="AGP2" s="232"/>
      <c r="AGQ2" s="232"/>
      <c r="AGR2" s="232"/>
      <c r="AGS2" s="232"/>
      <c r="AGT2" s="232"/>
      <c r="AGU2" s="232"/>
      <c r="AGV2" s="232"/>
      <c r="AGW2" s="232"/>
      <c r="AGX2" s="232"/>
      <c r="AGY2" s="232"/>
      <c r="AGZ2" s="232"/>
      <c r="AHA2" s="232"/>
      <c r="AHB2" s="232"/>
      <c r="AHC2" s="232"/>
      <c r="AHD2" s="232"/>
      <c r="AHE2" s="232"/>
      <c r="AHF2" s="232"/>
      <c r="AHG2" s="232"/>
      <c r="AHH2" s="232"/>
      <c r="AHI2" s="232"/>
      <c r="AHJ2" s="232"/>
      <c r="AHK2" s="232"/>
      <c r="AHL2" s="232"/>
      <c r="AHM2" s="232"/>
      <c r="AHN2" s="232"/>
      <c r="AHO2" s="232"/>
      <c r="AHP2" s="232"/>
      <c r="AHQ2" s="232"/>
      <c r="AHR2" s="232"/>
      <c r="AHS2" s="232"/>
      <c r="AHT2" s="232"/>
      <c r="AHU2" s="232"/>
      <c r="AHV2" s="232"/>
      <c r="AHW2" s="232"/>
      <c r="AHX2" s="232"/>
      <c r="AHY2" s="232"/>
      <c r="AHZ2" s="232"/>
      <c r="AIA2" s="232"/>
      <c r="AIB2" s="232"/>
      <c r="AIC2" s="232"/>
      <c r="AID2" s="232"/>
      <c r="AIE2" s="232"/>
      <c r="AIF2" s="232"/>
      <c r="AIG2" s="232"/>
      <c r="AIH2" s="232"/>
      <c r="AII2" s="232"/>
      <c r="AIJ2" s="232"/>
      <c r="AIK2" s="232"/>
      <c r="AIL2" s="232"/>
      <c r="AIM2" s="232"/>
      <c r="AIN2" s="232"/>
      <c r="AIO2" s="232"/>
      <c r="AIP2" s="232"/>
      <c r="AIQ2" s="232"/>
      <c r="AIR2" s="232"/>
      <c r="AIS2" s="232"/>
      <c r="AIT2" s="232"/>
      <c r="AIU2" s="232"/>
      <c r="AIV2" s="232"/>
      <c r="AIW2" s="232"/>
      <c r="AIX2" s="232"/>
      <c r="AIY2" s="232"/>
      <c r="AIZ2" s="232"/>
      <c r="AJA2" s="232"/>
      <c r="AJB2" s="232"/>
      <c r="AJC2" s="232"/>
      <c r="AJD2" s="232"/>
      <c r="AJE2" s="232"/>
      <c r="AJF2" s="232"/>
      <c r="AJG2" s="232"/>
      <c r="AJH2" s="232"/>
      <c r="AJI2" s="232"/>
      <c r="AJJ2" s="232"/>
      <c r="AJK2" s="232"/>
      <c r="AJL2" s="232"/>
      <c r="AJM2" s="232"/>
      <c r="AJN2" s="232"/>
      <c r="AJO2" s="232"/>
      <c r="AJP2" s="232"/>
      <c r="AJQ2" s="232"/>
      <c r="AJR2" s="232"/>
      <c r="AJS2" s="232"/>
      <c r="AJT2" s="232"/>
      <c r="AJU2" s="232"/>
      <c r="AJV2" s="232"/>
      <c r="AJW2" s="232"/>
      <c r="AJX2" s="232"/>
      <c r="AJY2" s="232"/>
      <c r="AJZ2" s="232"/>
      <c r="AKA2" s="232"/>
      <c r="AKB2" s="232"/>
      <c r="AKC2" s="232"/>
      <c r="AKD2" s="232"/>
      <c r="AKE2" s="232"/>
      <c r="AKF2" s="232"/>
      <c r="AKG2" s="232"/>
      <c r="AKH2" s="232"/>
      <c r="AKI2" s="232"/>
      <c r="AKJ2" s="232"/>
      <c r="AKK2" s="232"/>
      <c r="AKL2" s="232"/>
      <c r="AKM2" s="232"/>
      <c r="AKN2" s="232"/>
      <c r="AKO2" s="232"/>
      <c r="AKP2" s="232"/>
      <c r="AKQ2" s="232"/>
      <c r="AKR2" s="232"/>
      <c r="AKS2" s="232"/>
      <c r="AKT2" s="232"/>
      <c r="AKU2" s="232"/>
      <c r="AKV2" s="232"/>
      <c r="AKW2" s="232"/>
      <c r="AKX2" s="232"/>
      <c r="AKY2" s="232"/>
      <c r="AKZ2" s="232"/>
      <c r="ALA2" s="232"/>
      <c r="ALB2" s="232"/>
      <c r="ALC2" s="232"/>
      <c r="ALD2" s="232"/>
      <c r="ALE2" s="232"/>
      <c r="ALF2" s="232"/>
      <c r="ALG2" s="232"/>
      <c r="ALH2" s="232"/>
      <c r="ALI2" s="232"/>
      <c r="ALJ2" s="232"/>
      <c r="ALK2" s="232"/>
      <c r="ALL2" s="232"/>
      <c r="ALM2" s="232"/>
      <c r="ALN2" s="232"/>
      <c r="ALO2" s="232"/>
      <c r="ALP2" s="232"/>
      <c r="ALQ2" s="232"/>
      <c r="ALR2" s="232"/>
      <c r="ALS2" s="232"/>
      <c r="ALT2" s="232"/>
      <c r="ALU2" s="232"/>
      <c r="ALV2" s="232"/>
      <c r="ALW2" s="232"/>
      <c r="ALX2" s="232"/>
      <c r="ALY2" s="232"/>
      <c r="ALZ2" s="232"/>
      <c r="AMA2" s="232"/>
      <c r="AMB2" s="232"/>
      <c r="AMC2" s="232"/>
      <c r="AMD2" s="232"/>
      <c r="AME2" s="232"/>
      <c r="AMF2" s="232"/>
      <c r="AMG2" s="232"/>
      <c r="AMH2" s="232"/>
    </row>
    <row r="3" spans="1:1022" ht="15" x14ac:dyDescent="0.25">
      <c r="A3"/>
      <c r="B3"/>
      <c r="C3"/>
      <c r="D3"/>
      <c r="E3" s="307" t="s">
        <v>210</v>
      </c>
      <c r="F3" s="307"/>
      <c r="G3" s="307"/>
      <c r="H3" s="307"/>
      <c r="I3" s="26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2" ht="25.5" x14ac:dyDescent="0.2">
      <c r="A4" s="305" t="s">
        <v>214</v>
      </c>
      <c r="B4" s="306"/>
      <c r="C4" s="306"/>
      <c r="D4"/>
      <c r="E4" s="228" t="s">
        <v>190</v>
      </c>
      <c r="F4" s="228" t="s">
        <v>209</v>
      </c>
      <c r="G4" s="228" t="s">
        <v>217</v>
      </c>
      <c r="H4" s="228" t="s">
        <v>211</v>
      </c>
      <c r="I4" s="228" t="s">
        <v>220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2" s="232" customFormat="1" ht="14.25" customHeight="1" x14ac:dyDescent="0.25">
      <c r="A5" s="229"/>
      <c r="B5" s="230"/>
      <c r="C5" s="231"/>
      <c r="E5" s="267" t="s">
        <v>235</v>
      </c>
      <c r="F5" s="272">
        <f>'7.Dimensionamento'!H5/20</f>
        <v>74</v>
      </c>
      <c r="G5" s="233">
        <v>20</v>
      </c>
      <c r="H5" s="277">
        <f>'1. Transporte'!B107</f>
        <v>1480</v>
      </c>
      <c r="I5" s="272">
        <v>10.93</v>
      </c>
    </row>
    <row r="6" spans="1:1022" s="171" customFormat="1" ht="15" x14ac:dyDescent="0.25">
      <c r="A6" s="234" t="s">
        <v>191</v>
      </c>
      <c r="B6" s="235" t="s">
        <v>192</v>
      </c>
      <c r="C6" s="236" t="s">
        <v>79</v>
      </c>
      <c r="E6" s="239" t="s">
        <v>212</v>
      </c>
      <c r="F6" s="255"/>
      <c r="G6" s="256">
        <f>G5*10</f>
        <v>200</v>
      </c>
      <c r="H6" s="240">
        <f>H5*10</f>
        <v>14800</v>
      </c>
      <c r="I6" s="266">
        <f>H6*I5</f>
        <v>161764</v>
      </c>
    </row>
    <row r="7" spans="1:1022" ht="14.25" customHeight="1" x14ac:dyDescent="0.2">
      <c r="A7" s="200" t="s">
        <v>215</v>
      </c>
      <c r="B7" s="209" t="s">
        <v>213</v>
      </c>
      <c r="C7" s="258">
        <v>44</v>
      </c>
      <c r="G7" s="89"/>
      <c r="AME7"/>
      <c r="AMF7"/>
      <c r="AMG7"/>
      <c r="AMH7"/>
    </row>
    <row r="8" spans="1:1022" ht="14.25" x14ac:dyDescent="0.2">
      <c r="A8" s="200" t="s">
        <v>216</v>
      </c>
      <c r="B8" s="209" t="s">
        <v>213</v>
      </c>
      <c r="C8" s="258">
        <v>1</v>
      </c>
      <c r="AMH8"/>
    </row>
    <row r="9" spans="1:1022" ht="15" thickBot="1" x14ac:dyDescent="0.25">
      <c r="A9" s="238" t="s">
        <v>221</v>
      </c>
      <c r="B9" s="257" t="s">
        <v>213</v>
      </c>
      <c r="C9" s="258">
        <v>20</v>
      </c>
    </row>
    <row r="10" spans="1:1022" ht="28.5" customHeight="1" x14ac:dyDescent="0.2"/>
    <row r="11" spans="1:1022" ht="56.25" customHeight="1" x14ac:dyDescent="0.2"/>
  </sheetData>
  <mergeCells count="3">
    <mergeCell ref="A4:C4"/>
    <mergeCell ref="A1:H1"/>
    <mergeCell ref="E3:H3"/>
  </mergeCells>
  <pageMargins left="0.51180555555555496" right="0.51180555555555496" top="0.74791666666666701" bottom="0.74791666666666701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Transporte</vt:lpstr>
      <vt:lpstr>2.Encargos Sociais</vt:lpstr>
      <vt:lpstr>3.CAGED</vt:lpstr>
      <vt:lpstr>4.BDI</vt:lpstr>
      <vt:lpstr>5. Depreciação</vt:lpstr>
      <vt:lpstr>6.Remuneração de capital</vt:lpstr>
      <vt:lpstr>7.Dimensionamento</vt:lpstr>
      <vt:lpstr>AbaDeprec</vt:lpstr>
      <vt:lpstr>AbaRemun</vt:lpstr>
      <vt:lpstr>'1. Transporte'!Area_de_impressao</vt:lpstr>
      <vt:lpstr>'2.Encargos Sociais'!Area_de_impressao</vt:lpstr>
      <vt:lpstr>'1. Transporte'!Titulos_de_impressao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rafa</cp:lastModifiedBy>
  <cp:revision>2</cp:revision>
  <cp:lastPrinted>2021-02-01T19:48:53Z</cp:lastPrinted>
  <dcterms:created xsi:type="dcterms:W3CDTF">2000-12-13T10:02:50Z</dcterms:created>
  <dcterms:modified xsi:type="dcterms:W3CDTF">2023-01-16T16:32:39Z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dmlu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